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ocuments\Financije\FINANCIJSKI plan 2023_2025\Prijedlog plana_NB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2435" activeTab="1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R34" i="31" l="1"/>
  <c r="R13" i="31"/>
  <c r="R33" i="14"/>
  <c r="R51" i="14"/>
  <c r="R42" i="14"/>
  <c r="R29" i="14"/>
  <c r="R17" i="14"/>
  <c r="R8" i="14"/>
  <c r="R28" i="14"/>
  <c r="R50" i="14"/>
  <c r="R14" i="14"/>
  <c r="R23" i="31"/>
  <c r="R32" i="14"/>
  <c r="R10" i="14"/>
  <c r="R24" i="14"/>
  <c r="R24" i="31"/>
  <c r="R35" i="31"/>
  <c r="R26" i="14"/>
  <c r="R49" i="14"/>
  <c r="R40" i="14"/>
  <c r="R27" i="14"/>
  <c r="R15" i="14"/>
  <c r="R6" i="14"/>
  <c r="R16" i="14"/>
  <c r="R35" i="14"/>
  <c r="R7" i="14"/>
  <c r="R11" i="14"/>
  <c r="R23" i="14"/>
  <c r="R52" i="14"/>
  <c r="R12" i="31"/>
  <c r="R11" i="31" s="1"/>
  <c r="R48" i="14"/>
  <c r="R18" i="14"/>
  <c r="R46" i="14"/>
  <c r="R34" i="14"/>
  <c r="R25" i="14"/>
  <c r="R12" i="14"/>
  <c r="R45" i="14"/>
  <c r="R9" i="14"/>
  <c r="R31" i="14"/>
  <c r="R43" i="14"/>
  <c r="R44" i="14"/>
  <c r="R41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R30" i="14" l="1"/>
  <c r="R47" i="14"/>
  <c r="R22" i="31"/>
  <c r="R33" i="31"/>
  <c r="J30" i="14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<sst xmlns="http://schemas.openxmlformats.org/spreadsheetml/2006/main" count="13848" uniqueCount="5290">
  <si>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</si>
  <si>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</si>
  <si>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</si>
  <si>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</si>
  <si>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</si>
  <si>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</si>
  <si>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</si>
  <si>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</si>
  <si>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</si>
  <si>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</si>
  <si>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</si>
  <si>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</si>
  <si>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</si>
  <si>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</si>
  <si>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</si>
  <si>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</si>
  <si>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</si>
  <si>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</si>
  <si>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</si>
  <si>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</si>
  <si>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</si>
  <si>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</si>
  <si>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</si>
  <si>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</si>
  <si>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</si>
  <si>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</si>
  <si>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</si>
  <si>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</si>
  <si>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</si>
  <si>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</si>
  <si>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</si>
  <si>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</si>
  <si>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</si>
  <si>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</si>
  <si>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</si>
  <si>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</si>
  <si>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</si>
  <si>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</si>
  <si>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</si>
  <si>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</si>
  <si>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</si>
  <si>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</si>
  <si>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</si>
  <si>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</si>
  <si>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</si>
  <si>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</si>
  <si>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</si>
  <si>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</si>
  <si>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</si>
  <si>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</si>
  <si>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</si>
  <si>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</si>
  <si>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</si>
  <si>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</si>
  <si>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</si>
  <si>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</si>
  <si>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</si>
  <si>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</si>
  <si>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</si>
  <si>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</si>
  <si>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</si>
  <si>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</si>
  <si>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</si>
  <si>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</si>
  <si>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</si>
  <si>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</si>
  <si>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</si>
  <si>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</si>
  <si>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</si>
  <si>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</si>
  <si>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</si>
  <si>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</si>
  <si>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</si>
  <si>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</si>
  <si>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</si>
  <si>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</si>
  <si>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</si>
  <si>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</si>
  <si>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</si>
  <si>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</si>
  <si>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</si>
  <si>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</si>
  <si>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</si>
  <si>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</si>
  <si>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</si>
  <si>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</si>
  <si>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</si>
  <si>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</si>
  <si>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</si>
  <si>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</si>
  <si>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</si>
  <si>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</si>
  <si>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</si>
  <si>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</si>
  <si>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</si>
  <si>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</si>
  <si>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</si>
  <si>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</si>
  <si>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</si>
  <si>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</si>
  <si>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</si>
  <si>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</si>
  <si>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</si>
  <si>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</si>
  <si>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</si>
  <si>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</si>
  <si>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</si>
  <si>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</si>
  <si>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</si>
  <si>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</si>
  <si>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</si>
  <si>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</si>
  <si>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</si>
  <si>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</si>
  <si>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</si>
  <si>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</si>
  <si>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</si>
  <si>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</si>
  <si>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</si>
  <si>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</si>
  <si>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</si>
  <si>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</si>
  <si>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</si>
  <si>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</si>
  <si>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</si>
  <si>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</si>
  <si>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</si>
  <si>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</si>
  <si>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</si>
  <si>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</si>
  <si>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</si>
  <si>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</si>
  <si>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</si>
  <si>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</si>
  <si>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</si>
  <si>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</si>
  <si>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</si>
  <si>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</si>
  <si>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</si>
  <si>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</si>
  <si>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</si>
  <si>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</si>
  <si>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</si>
  <si>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</si>
  <si>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</si>
  <si>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</si>
  <si>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</si>
  <si>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</si>
  <si>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</si>
  <si>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</si>
  <si>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</si>
  <si>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</si>
  <si>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</si>
  <si>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</si>
  <si>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</si>
  <si>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</si>
  <si>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</si>
  <si>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</si>
  <si>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</si>
  <si>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</si>
  <si>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</si>
  <si>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</si>
  <si>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</si>
  <si>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</si>
  <si>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</si>
  <si>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</si>
  <si>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</si>
  <si>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</si>
  <si>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</si>
  <si>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</si>
  <si>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</si>
  <si>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</si>
  <si>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</si>
  <si>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</si>
  <si>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</si>
  <si>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</si>
  <si>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</si>
  <si>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</si>
  <si>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</si>
  <si>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</si>
  <si>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</si>
  <si>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</si>
  <si>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</si>
  <si>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</si>
  <si>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</si>
  <si>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</si>
  <si>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</si>
  <si>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</si>
  <si>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</si>
  <si>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</si>
  <si>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</si>
  <si>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</si>
  <si>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</si>
  <si>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</si>
  <si>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</si>
  <si>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</si>
  <si>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</si>
  <si>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</si>
  <si>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</si>
  <si>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</si>
  <si>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</si>
  <si>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</si>
  <si>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</si>
  <si>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</si>
  <si>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</si>
  <si>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</si>
  <si>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</si>
  <si>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</si>
  <si>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</si>
  <si>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</si>
  <si>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</si>
  <si>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</si>
  <si>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</si>
  <si>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</si>
  <si>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</si>
  <si>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</si>
  <si>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</si>
  <si>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</si>
  <si>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</si>
  <si>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</si>
  <si>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</si>
  <si>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</si>
  <si>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</si>
  <si>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</si>
  <si>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</si>
  <si>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</si>
  <si>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</si>
  <si>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</si>
  <si>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</si>
  <si>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</si>
  <si>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</si>
  <si>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</si>
  <si>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</si>
  <si>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</si>
  <si>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</si>
  <si>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</si>
  <si>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</si>
  <si>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</si>
  <si>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</si>
  <si>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</si>
  <si>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</si>
  <si>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</si>
  <si>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</si>
  <si>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</si>
  <si>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</si>
  <si>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</si>
  <si>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</si>
  <si>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</si>
  <si>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</si>
  <si>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</si>
  <si>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</si>
  <si>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</si>
  <si>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</si>
  <si>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</si>
  <si>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</si>
  <si>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</si>
  <si>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</si>
  <si>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</si>
  <si>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</si>
  <si>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</si>
  <si>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</si>
  <si>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</si>
  <si>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</si>
  <si>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</si>
  <si>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</si>
  <si>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</si>
  <si>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</si>
  <si>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</si>
  <si>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</si>
  <si>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</si>
  <si>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</si>
  <si>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</si>
  <si>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</si>
  <si>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</si>
  <si>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</si>
  <si>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</si>
  <si>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</si>
  <si>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</si>
  <si>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</si>
  <si>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</si>
  <si>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</si>
  <si>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</si>
  <si>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</si>
  <si>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</si>
  <si>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</si>
  <si>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</si>
  <si>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</si>
  <si>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</si>
  <si>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</si>
  <si>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</si>
  <si>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</si>
  <si>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</si>
  <si>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</si>
  <si>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</si>
  <si>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</si>
  <si>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</si>
  <si>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</si>
  <si>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</si>
  <si>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</si>
  <si>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</si>
  <si>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</si>
  <si>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</si>
  <si>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</si>
  <si>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</si>
  <si>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</si>
  <si>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</si>
  <si>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</si>
  <si>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</si>
  <si>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</si>
  <si>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</si>
  <si>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</si>
  <si>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</si>
  <si>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</si>
  <si>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</si>
  <si>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</si>
  <si>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</si>
  <si>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</si>
  <si>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</si>
  <si>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</si>
  <si>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</si>
  <si>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</si>
  <si>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</si>
  <si>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</si>
  <si>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</si>
  <si>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</si>
  <si>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</si>
  <si>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</si>
  <si>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</si>
  <si>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</si>
  <si>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</si>
  <si>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</si>
  <si>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</si>
  <si>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</si>
  <si>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</si>
  <si>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</si>
  <si>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</si>
  <si>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</si>
  <si>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</si>
  <si>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</si>
  <si>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</si>
  <si>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</si>
  <si>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</si>
  <si>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</si>
  <si>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</si>
  <si>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</si>
  <si>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</si>
  <si>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</si>
  <si>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</si>
  <si>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</si>
  <si>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</si>
  <si>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</si>
  <si>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</si>
  <si>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</si>
  <si>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</si>
  <si>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</si>
  <si>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</si>
  <si>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</si>
  <si>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</si>
  <si>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</si>
  <si>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</si>
  <si>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</si>
  <si>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</si>
  <si>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</si>
  <si>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</si>
  <si>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</si>
  <si>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</si>
  <si>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</si>
  <si>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</si>
  <si>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</si>
  <si>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</si>
  <si>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</si>
  <si>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</si>
  <si>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</si>
  <si>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</si>
  <si>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</si>
  <si>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</si>
  <si>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</si>
  <si>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</si>
  <si>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</si>
  <si>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</si>
  <si>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</si>
  <si>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</si>
  <si>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</si>
  <si>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</si>
  <si>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</si>
  <si>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</si>
  <si>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</si>
  <si>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</si>
  <si>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</si>
  <si>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</si>
  <si>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</si>
  <si>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</si>
  <si>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</si>
  <si>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</si>
  <si>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</si>
  <si>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</si>
  <si>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</si>
  <si>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</si>
  <si>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</si>
  <si>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</si>
  <si>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</si>
  <si>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</si>
  <si>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</si>
  <si>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</si>
  <si>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</si>
  <si>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</si>
  <si>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</si>
  <si>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</si>
  <si>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</si>
  <si>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</si>
  <si>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</si>
  <si>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</si>
  <si>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</si>
  <si>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</si>
  <si>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</si>
  <si>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</si>
  <si>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</si>
  <si>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</si>
  <si>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</si>
  <si>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</si>
  <si>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</si>
  <si>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</si>
  <si>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</si>
  <si>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</si>
  <si>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</si>
  <si>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</si>
  <si>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</si>
  <si>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</si>
  <si>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</si>
  <si>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</si>
  <si>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</si>
  <si>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</si>
  <si>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</si>
  <si>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</si>
  <si>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</si>
  <si>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</si>
  <si>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</si>
  <si>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</si>
  <si>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</si>
  <si>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</si>
  <si>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</si>
  <si>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</si>
  <si>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</si>
  <si>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</si>
  <si>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</si>
  <si>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</si>
  <si>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</si>
  <si>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</si>
  <si>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</si>
  <si>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</si>
  <si>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</si>
  <si>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</si>
  <si>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</si>
  <si>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</si>
  <si>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</si>
  <si>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</si>
  <si>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</si>
  <si>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</si>
  <si>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</si>
  <si>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</si>
  <si>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</si>
  <si>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</si>
  <si>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</si>
  <si>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</si>
  <si>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</si>
  <si>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</si>
  <si>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</si>
  <si>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</si>
  <si>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</si>
  <si>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</si>
  <si>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</si>
  <si>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</si>
  <si>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</si>
  <si>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</si>
  <si>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</si>
  <si>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</si>
  <si>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</si>
  <si>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</si>
  <si>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</si>
  <si>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</si>
  <si>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</si>
  <si>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</si>
  <si>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</si>
  <si>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</si>
  <si>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</si>
  <si>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</si>
  <si>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</si>
  <si>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</si>
  <si>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</si>
  <si>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</si>
  <si>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</si>
  <si>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</si>
  <si>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</si>
  <si>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</si>
  <si>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</si>
  <si>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</si>
  <si>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</si>
  <si>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</si>
  <si>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</si>
  <si>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</si>
  <si>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</si>
  <si>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</si>
  <si>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</si>
  <si>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</si>
  <si>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</si>
  <si>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</si>
  <si>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</si>
  <si>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</si>
  <si>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</si>
  <si>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</si>
  <si>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</si>
  <si>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</si>
  <si>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</si>
  <si>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</si>
  <si>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</si>
  <si>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</si>
  <si>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</si>
  <si>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</si>
  <si>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</si>
  <si>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</si>
  <si>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</si>
  <si>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</si>
  <si>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</si>
  <si>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</si>
  <si>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</si>
  <si>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</si>
  <si>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</si>
  <si>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</si>
  <si>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</si>
  <si>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</si>
  <si>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</si>
  <si>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</si>
  <si>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</si>
  <si>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</si>
  <si>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</si>
  <si>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</si>
  <si>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</si>
  <si>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</si>
  <si>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</si>
  <si>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</si>
  <si>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</si>
  <si>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</si>
  <si>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</si>
  <si>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</si>
  <si>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</si>
  <si>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</si>
  <si>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</si>
  <si>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</si>
  <si>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</si>
  <si>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</si>
  <si>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</si>
  <si>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</si>
  <si>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</si>
  <si>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</si>
  <si>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</si>
  <si>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</si>
  <si>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</si>
  <si>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</si>
  <si>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</si>
  <si>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</si>
  <si>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</si>
  <si>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</si>
  <si>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</si>
  <si>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</si>
  <si>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</si>
  <si>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</si>
  <si>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</si>
  <si>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</si>
  <si>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</si>
  <si>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</si>
  <si>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</si>
  <si>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</si>
  <si>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</si>
  <si>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</si>
  <si>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</si>
  <si>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</si>
  <si>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</si>
  <si>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</si>
  <si>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</si>
  <si>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</si>
  <si>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</si>
  <si>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</si>
  <si>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</si>
  <si>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</si>
  <si>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</si>
  <si>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</si>
  <si>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</si>
  <si>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</si>
  <si>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</si>
  <si>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</si>
  <si>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</si>
  <si>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</si>
  <si>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</si>
  <si>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</si>
  <si>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</si>
  <si>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</si>
  <si>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</si>
  <si>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</si>
  <si>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</si>
  <si>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</si>
  <si>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</si>
  <si>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</si>
  <si>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</si>
  <si>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</si>
  <si>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</si>
  <si>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</si>
  <si>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</si>
  <si>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</si>
  <si>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</si>
  <si>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</si>
  <si>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</si>
  <si>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</si>
  <si>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</si>
  <si>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</si>
  <si>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</si>
  <si>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</si>
  <si>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</si>
  <si>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</si>
  <si>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</si>
  <si>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</si>
  <si>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</si>
  <si>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</si>
  <si>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</si>
  <si>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</si>
  <si>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</si>
  <si>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</si>
  <si>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</si>
  <si>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</si>
  <si>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</si>
  <si>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</si>
  <si>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</si>
  <si>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</si>
  <si>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</si>
  <si>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</si>
  <si>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</si>
  <si>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</si>
  <si>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</si>
  <si>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</si>
  <si>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</si>
  <si>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</si>
  <si>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</si>
  <si>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</si>
  <si>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</si>
  <si>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</si>
  <si>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</si>
  <si>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</si>
  <si>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</si>
  <si>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</si>
  <si>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</si>
  <si>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</si>
  <si>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</si>
  <si>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</si>
  <si>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</si>
  <si>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</si>
  <si>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</si>
  <si>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</si>
  <si>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</si>
  <si>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</si>
  <si>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</si>
  <si>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</si>
  <si>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</si>
  <si>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</si>
  <si>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</si>
  <si>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</si>
  <si>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</si>
  <si>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</si>
  <si>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</si>
  <si>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</si>
  <si>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</si>
  <si>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</si>
  <si>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</si>
  <si>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</si>
  <si>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</si>
  <si>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</si>
  <si>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</si>
  <si>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</si>
  <si>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</si>
  <si>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</si>
  <si>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</si>
  <si>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</si>
  <si>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</si>
  <si>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</si>
  <si>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</si>
  <si>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</si>
  <si>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</si>
  <si>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</si>
  <si>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</si>
  <si>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</si>
  <si>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</si>
  <si>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</si>
  <si>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</si>
  <si>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</si>
  <si>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</si>
  <si>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</si>
  <si>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</si>
  <si>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</si>
  <si>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</si>
  <si>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</si>
  <si>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</si>
  <si>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</si>
  <si>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</si>
  <si>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</si>
  <si>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</si>
  <si>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</si>
  <si>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</si>
  <si>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</si>
  <si>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</si>
  <si>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</si>
  <si>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</si>
  <si>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</si>
  <si>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</si>
  <si>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</si>
  <si>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</si>
  <si>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</si>
  <si>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</si>
  <si>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</si>
  <si>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</si>
  <si>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</si>
  <si>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</si>
  <si>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</si>
  <si>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</si>
  <si>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</si>
  <si>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</si>
  <si>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</si>
  <si>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</si>
  <si>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</si>
  <si>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</si>
  <si>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</si>
  <si>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</si>
  <si>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</si>
  <si>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</si>
  <si>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</si>
  <si>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</si>
  <si>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</si>
  <si>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</si>
  <si>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</si>
  <si>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</si>
  <si>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</si>
  <si>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</si>
  <si>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</si>
  <si>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</si>
  <si>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</si>
  <si>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</si>
  <si>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</si>
  <si>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</si>
  <si>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</si>
  <si>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</si>
  <si>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</si>
  <si>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</si>
  <si>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</si>
  <si>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</si>
  <si>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</si>
  <si>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</si>
  <si>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</si>
  <si>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</si>
  <si>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</si>
  <si>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</si>
  <si>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</si>
  <si>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</si>
  <si>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</si>
  <si>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</si>
  <si>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</si>
  <si>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</si>
  <si>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</si>
  <si>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</si>
  <si>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</si>
  <si>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</si>
  <si>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</si>
  <si>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</si>
  <si>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</si>
  <si>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</si>
  <si>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</si>
  <si>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</si>
  <si>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</si>
  <si>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</si>
  <si>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</si>
  <si>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</si>
  <si>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</si>
  <si>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</si>
  <si>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</si>
  <si>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</si>
  <si>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</si>
  <si>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</si>
  <si>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</si>
  <si>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</si>
  <si>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</si>
  <si>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</si>
  <si>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</si>
  <si>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</si>
  <si>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</si>
  <si>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</si>
  <si>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</si>
  <si>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</si>
  <si>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</si>
  <si>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</si>
  <si>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</si>
  <si>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</si>
  <si>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</si>
  <si>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</si>
  <si>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</si>
  <si>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</si>
  <si>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</si>
  <si>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</si>
  <si>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</si>
  <si>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</si>
  <si>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</si>
  <si>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</si>
  <si>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</si>
  <si>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</si>
  <si>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</si>
  <si>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</si>
  <si>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</si>
  <si>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</si>
  <si>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</si>
  <si>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</si>
  <si>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</si>
  <si>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</si>
  <si>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</si>
  <si>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</si>
  <si>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</si>
  <si>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</si>
  <si>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</si>
  <si>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</si>
  <si>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</si>
  <si>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</si>
  <si>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</si>
  <si>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</si>
  <si>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</si>
  <si>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</si>
  <si>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</si>
  <si>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</si>
  <si>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</si>
  <si>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</si>
  <si>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</si>
  <si>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</si>
  <si>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</si>
  <si>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</si>
  <si>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</si>
  <si>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</si>
  <si>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</si>
  <si>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</si>
  <si>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</si>
  <si>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</si>
  <si>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</si>
  <si>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</si>
  <si>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</si>
  <si>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</si>
  <si>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</si>
  <si>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</si>
  <si>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</si>
  <si>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</si>
  <si>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</si>
  <si>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</si>
  <si>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</si>
  <si>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</si>
  <si>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</si>
  <si>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</si>
  <si>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</si>
  <si>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</si>
  <si>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</si>
  <si>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</si>
  <si>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</si>
  <si>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</si>
  <si>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</si>
  <si>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</si>
  <si>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</si>
  <si>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</si>
  <si>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</si>
  <si>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</si>
  <si>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</si>
  <si>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</si>
  <si>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</si>
  <si>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</si>
  <si>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</si>
  <si>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</si>
  <si>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</si>
  <si>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</si>
  <si>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</si>
  <si>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</si>
  <si>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</si>
  <si>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</si>
  <si>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</si>
  <si>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</si>
  <si>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</si>
  <si>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</si>
  <si>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</si>
  <si>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</si>
  <si>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</si>
  <si>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</si>
  <si>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</si>
  <si>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</si>
  <si>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</si>
  <si>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</si>
  <si>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</si>
  <si>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</si>
  <si>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</si>
  <si>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</si>
  <si>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</si>
  <si>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</si>
  <si>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</si>
  <si>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</si>
  <si>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</si>
  <si>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</si>
  <si>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</si>
  <si>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</si>
  <si>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</si>
  <si>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</si>
  <si>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</si>
  <si>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</si>
  <si>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</si>
  <si>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</si>
  <si>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</si>
  <si>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</si>
  <si>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</si>
  <si>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</si>
  <si>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</si>
  <si>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</si>
  <si>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</si>
  <si>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</si>
  <si>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</si>
  <si>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</si>
  <si>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</si>
  <si>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</si>
  <si>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</si>
  <si>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</si>
  <si>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</si>
  <si>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</si>
  <si>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</si>
  <si>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</si>
  <si>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</si>
  <si>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</si>
  <si>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</si>
  <si>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</si>
  <si>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</si>
  <si>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</si>
  <si>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</si>
  <si>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</si>
  <si>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</si>
  <si>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</si>
  <si>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</si>
  <si>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</si>
  <si>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</si>
  <si>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</si>
  <si>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</si>
  <si>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</si>
  <si>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</si>
  <si>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</si>
  <si>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</si>
  <si>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</si>
  <si>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</si>
  <si>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</si>
  <si>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</si>
  <si>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</si>
  <si>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</si>
  <si>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</si>
  <si>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</si>
  <si>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</si>
  <si>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</si>
  <si>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</si>
  <si>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</si>
  <si>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</si>
  <si>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</si>
  <si>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</si>
  <si>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</si>
  <si>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</si>
  <si>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</si>
  <si>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</si>
  <si>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</si>
  <si>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</si>
  <si>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</si>
  <si>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</si>
  <si>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</si>
  <si>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</si>
  <si>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</si>
  <si>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</si>
  <si>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</si>
  <si>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</si>
  <si>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</si>
  <si>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</si>
  <si>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</si>
  <si>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</si>
  <si>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</si>
  <si>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</si>
  <si>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</si>
  <si>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</si>
  <si>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</si>
  <si>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</si>
  <si>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</si>
  <si>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</si>
  <si>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</si>
  <si>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</si>
  <si>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</si>
  <si>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</si>
  <si>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</si>
  <si>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</si>
  <si>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</si>
  <si>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</si>
  <si>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</si>
  <si>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</si>
  <si>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</si>
  <si>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</si>
  <si>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</si>
  <si>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</si>
  <si>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</si>
  <si>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</si>
  <si>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</si>
  <si>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</si>
  <si>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</si>
  <si>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</si>
  <si>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</si>
  <si>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</si>
  <si>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</si>
  <si>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</si>
  <si>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</si>
  <si>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</si>
  <si>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</si>
  <si>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</si>
  <si>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</si>
  <si>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</si>
  <si>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</si>
  <si>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</si>
  <si>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</si>
  <si>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</si>
  <si>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</si>
  <si>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</si>
  <si>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</si>
  <si>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</si>
  <si>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</si>
  <si>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</si>
  <si>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</si>
  <si>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</si>
  <si>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</si>
  <si>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</si>
  <si>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</si>
  <si>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</si>
  <si>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</si>
  <si>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</si>
  <si>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</si>
  <si>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</si>
  <si>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</si>
  <si>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</si>
  <si>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</si>
  <si>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</si>
  <si>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</si>
  <si>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</si>
  <si>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</si>
  <si>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</si>
  <si>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</si>
  <si>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</si>
  <si>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</si>
  <si>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</si>
  <si>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</si>
  <si>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</si>
  <si>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</si>
  <si>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</si>
  <si>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</si>
  <si>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</si>
  <si>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</si>
  <si>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</si>
  <si>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</si>
  <si>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</si>
  <si>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</si>
  <si>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</si>
  <si>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</si>
  <si>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</si>
  <si>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</si>
  <si>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</si>
  <si>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</si>
  <si>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</si>
  <si>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</si>
  <si>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</si>
  <si>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</si>
  <si>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</si>
  <si>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</si>
  <si>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</si>
  <si>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</si>
  <si>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</si>
  <si>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</si>
  <si>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</si>
  <si>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</si>
  <si>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</si>
  <si>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</si>
  <si>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</si>
  <si>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</si>
  <si>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</si>
  <si>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</si>
  <si>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</si>
  <si>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</si>
  <si>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</si>
  <si>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</si>
  <si>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</si>
  <si>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</si>
  <si>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</si>
  <si>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</si>
  <si>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</si>
  <si>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</si>
  <si>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</si>
  <si>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</si>
  <si>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</si>
  <si>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</si>
  <si>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</si>
  <si>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</si>
  <si>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</si>
  <si>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</si>
  <si>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</si>
  <si>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</si>
  <si>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</si>
  <si>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</si>
  <si>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</si>
  <si>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</si>
  <si>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</si>
  <si>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</si>
  <si>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</si>
  <si>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</si>
  <si>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</si>
  <si>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</si>
  <si>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</si>
  <si>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</si>
  <si>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</si>
  <si>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</si>
  <si>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</si>
  <si>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</si>
  <si>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</si>
  <si>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</si>
  <si>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</si>
  <si>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</si>
  <si>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</si>
  <si>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</si>
  <si>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</si>
  <si>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</si>
  <si>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</si>
  <si>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</si>
  <si>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</si>
  <si>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</si>
  <si>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</si>
  <si>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</si>
  <si>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</si>
  <si>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</si>
  <si>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</si>
  <si>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</si>
  <si>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</si>
  <si>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</si>
  <si>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</si>
  <si>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</si>
  <si>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</si>
  <si>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</si>
  <si>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</si>
  <si>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</si>
  <si>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</si>
  <si>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</si>
  <si>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</si>
  <si>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</si>
  <si>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</si>
  <si>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</si>
  <si>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</si>
  <si>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</si>
  <si>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</si>
  <si>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</si>
  <si>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</si>
  <si>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</si>
  <si>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</si>
  <si>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</si>
  <si>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</si>
  <si>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</si>
  <si>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</si>
  <si>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</si>
  <si>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</si>
  <si>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</si>
  <si>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</si>
  <si>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</si>
  <si>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</si>
  <si>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</si>
  <si>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</si>
  <si>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</si>
  <si>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</si>
  <si>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</si>
  <si>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</si>
  <si>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</si>
  <si>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</si>
  <si>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</si>
  <si>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</si>
  <si>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</si>
  <si>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</si>
  <si>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</si>
  <si>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</si>
  <si>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</si>
  <si>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</si>
  <si>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</si>
  <si>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</si>
  <si>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</si>
  <si>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</si>
  <si>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</si>
  <si>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</si>
  <si>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</si>
  <si>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</si>
  <si>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</si>
  <si>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</si>
  <si>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</si>
  <si>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</si>
  <si>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</si>
  <si>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</si>
  <si>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</si>
  <si>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</si>
  <si>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</si>
  <si>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</si>
  <si>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</si>
  <si>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</si>
  <si>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</si>
  <si>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</si>
  <si>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</si>
  <si>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</si>
  <si>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</si>
  <si>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</si>
  <si>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</si>
  <si>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</si>
  <si>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</si>
  <si>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</si>
  <si>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</si>
  <si>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</si>
  <si>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</si>
  <si>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</si>
  <si>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</si>
  <si>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</si>
  <si>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</si>
  <si>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</si>
  <si>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</si>
  <si>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</si>
  <si>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</si>
  <si>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</si>
  <si>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</si>
  <si>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</si>
  <si>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</si>
  <si>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</si>
  <si>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</si>
  <si>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</si>
  <si>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</si>
  <si>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</si>
  <si>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</si>
  <si>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</si>
  <si>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</si>
  <si>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</si>
  <si>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</si>
  <si>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</si>
  <si>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</si>
  <si>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</si>
  <si>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</si>
  <si>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</si>
  <si>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</si>
  <si>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</si>
  <si>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</si>
  <si>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</si>
  <si>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</si>
  <si>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</si>
  <si>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</si>
  <si>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</si>
  <si>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</si>
  <si>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</si>
  <si>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</si>
  <si>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</si>
  <si>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</si>
  <si>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</si>
  <si>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</si>
  <si>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</si>
  <si>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</si>
  <si>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</si>
  <si>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</si>
  <si>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</si>
  <si>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</si>
  <si>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</si>
  <si>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</si>
  <si>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</si>
  <si>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</si>
  <si>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</si>
  <si>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</si>
  <si>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</si>
  <si>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</si>
  <si>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</si>
  <si>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</si>
  <si>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</si>
  <si>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</si>
  <si>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</si>
  <si>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</si>
  <si>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</si>
  <si>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</si>
  <si>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</si>
  <si>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</si>
  <si>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</si>
  <si>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</si>
  <si>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</si>
  <si>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</si>
  <si>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</si>
  <si>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</si>
  <si>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</si>
  <si>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</si>
  <si>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</si>
  <si>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</si>
  <si>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</si>
  <si>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</si>
  <si>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</si>
  <si>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</si>
  <si>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</si>
  <si>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</si>
  <si>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</si>
  <si>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</si>
  <si>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</si>
  <si>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</si>
  <si>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</si>
  <si>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</si>
  <si>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</si>
  <si>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</si>
  <si>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</si>
  <si>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</si>
  <si>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</si>
  <si>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</si>
  <si>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</si>
  <si>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</si>
  <si>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</si>
  <si>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</si>
  <si>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</si>
  <si>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</si>
  <si>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</si>
  <si>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</si>
  <si>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</si>
  <si>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</si>
  <si>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</si>
  <si>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</si>
  <si>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</si>
  <si>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</si>
  <si>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</si>
  <si>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</si>
  <si>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</si>
  <si>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</si>
  <si>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</si>
  <si>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</si>
  <si>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</si>
  <si>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</si>
  <si>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</si>
  <si>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</si>
  <si>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</si>
  <si>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</si>
  <si>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</si>
  <si>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</si>
  <si>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</si>
  <si>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</si>
  <si>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</si>
  <si>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</si>
  <si>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</si>
  <si>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</si>
  <si>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</si>
  <si>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</si>
  <si>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</si>
  <si>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</si>
  <si>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</si>
  <si>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</si>
  <si>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</si>
  <si>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</si>
  <si>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</si>
  <si>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</si>
  <si>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</si>
  <si>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</si>
  <si>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</si>
  <si>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</si>
  <si>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</si>
  <si>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</si>
  <si>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</si>
  <si>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</si>
  <si>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</si>
  <si>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</si>
  <si>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</si>
  <si>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</si>
  <si>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</si>
  <si>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</si>
  <si>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</si>
  <si>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</si>
  <si>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</si>
  <si>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</si>
  <si>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</si>
  <si>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</si>
  <si>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</si>
  <si>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</si>
  <si>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</si>
  <si>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</si>
  <si>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</si>
  <si>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</si>
  <si>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</si>
  <si>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</si>
  <si>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</si>
  <si>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</si>
  <si>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</si>
  <si>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</si>
  <si>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</si>
  <si>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</si>
  <si>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</si>
  <si>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</si>
  <si>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</si>
  <si>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</si>
  <si>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</si>
  <si>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</si>
  <si>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</si>
  <si>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</si>
  <si>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</si>
  <si>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</si>
  <si>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</si>
  <si>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</si>
  <si>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</si>
  <si>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</si>
  <si>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</si>
  <si>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</si>
  <si>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</si>
  <si>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</si>
  <si>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</si>
  <si>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</si>
  <si>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</si>
  <si>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</si>
  <si>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</si>
  <si>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</si>
  <si>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</si>
  <si>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</si>
  <si>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</si>
  <si>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</si>
  <si>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</si>
  <si>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</si>
  <si>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</si>
  <si>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</si>
  <si>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</si>
  <si>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</si>
  <si>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</si>
  <si>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</si>
  <si>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</si>
  <si>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</si>
  <si>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</si>
  <si>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</si>
  <si>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</si>
  <si>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</si>
  <si>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</si>
  <si>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</si>
  <si>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</si>
  <si>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</si>
  <si>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</si>
  <si>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</si>
  <si>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</si>
  <si>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</si>
  <si>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</si>
  <si>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</si>
  <si>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</si>
  <si>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</si>
  <si>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</si>
  <si>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</si>
  <si>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</si>
  <si>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</si>
  <si>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</si>
  <si>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</si>
  <si>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</si>
  <si>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</si>
  <si>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</si>
  <si>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</si>
  <si>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</si>
  <si>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</si>
  <si>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</si>
  <si>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</si>
  <si>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</si>
  <si>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</si>
  <si>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</si>
  <si>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</si>
  <si>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</si>
  <si>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</si>
  <si>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</si>
  <si>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</si>
  <si>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</si>
  <si>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</si>
  <si>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</si>
  <si>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</si>
  <si>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</si>
  <si>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</si>
  <si>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</si>
  <si>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</si>
  <si>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</si>
  <si>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</si>
  <si>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</si>
  <si>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</si>
  <si>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</si>
  <si>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</si>
  <si>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</si>
  <si>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</si>
  <si>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</si>
  <si>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</si>
  <si>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</si>
  <si>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</si>
  <si>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</si>
  <si>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</si>
  <si>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</si>
  <si>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</si>
  <si>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</si>
  <si>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</si>
  <si>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</si>
  <si>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</si>
  <si>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</si>
  <si>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</si>
  <si>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</si>
  <si>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</si>
  <si>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</si>
  <si>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</si>
  <si>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</si>
  <si>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</si>
  <si>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</si>
  <si>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</si>
  <si>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</si>
  <si>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</si>
  <si>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</si>
  <si>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</si>
  <si>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</si>
  <si>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</si>
  <si>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</si>
  <si>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</si>
  <si>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</si>
  <si>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</si>
  <si>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</si>
  <si>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</si>
  <si>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</si>
  <si>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</si>
  <si>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</si>
  <si>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</si>
  <si>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</si>
  <si>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</si>
  <si>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</si>
  <si>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</si>
  <si>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</si>
  <si>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</si>
  <si>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</si>
  <si>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</si>
  <si>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</si>
  <si>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</si>
  <si>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</si>
  <si>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</si>
  <si>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</si>
  <si>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</si>
  <si>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</si>
  <si>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</si>
  <si>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</si>
  <si>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</si>
  <si>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</si>
  <si>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</si>
  <si>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</si>
  <si>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</si>
  <si>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</si>
  <si>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</si>
  <si>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</si>
  <si>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</si>
  <si>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</si>
  <si>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</si>
  <si>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</si>
  <si>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</si>
  <si>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</si>
  <si>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</si>
  <si>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</si>
  <si>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</si>
  <si>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</si>
  <si>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</si>
  <si>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</si>
  <si>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</si>
  <si>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</si>
  <si>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</si>
  <si>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</si>
  <si>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</si>
  <si>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</si>
  <si>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</si>
  <si>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</si>
  <si>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</si>
  <si>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</si>
  <si>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</si>
  <si>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</si>
  <si>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</si>
  <si>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</si>
  <si>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</si>
  <si>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</si>
  <si>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</si>
  <si>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</si>
  <si>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</si>
  <si>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</si>
  <si>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</si>
  <si>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</si>
  <si>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</si>
  <si>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</si>
  <si>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</si>
  <si>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</si>
  <si>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</si>
  <si>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</si>
  <si>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</si>
  <si>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</si>
  <si>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</si>
  <si>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</si>
  <si>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</si>
  <si>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</si>
  <si>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</si>
  <si>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</si>
  <si>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</si>
  <si>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</si>
  <si>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</si>
  <si>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</si>
  <si>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</si>
  <si>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</si>
  <si>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</si>
  <si>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</si>
  <si>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</si>
  <si>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</si>
  <si>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</si>
  <si>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</si>
  <si>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</si>
  <si>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</si>
  <si>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</si>
  <si>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</si>
  <si>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</si>
  <si>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</si>
  <si>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</si>
  <si>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</si>
  <si>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</si>
  <si>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</si>
  <si>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</si>
  <si>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</si>
  <si>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</si>
  <si>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</si>
  <si>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</si>
  <si>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</si>
  <si>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</si>
  <si>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</si>
  <si>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</si>
  <si>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</si>
  <si>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</si>
  <si>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</si>
  <si>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</si>
  <si>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</si>
  <si>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</si>
  <si>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</si>
  <si>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</si>
  <si>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</si>
  <si>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</si>
  <si>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</si>
  <si>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</si>
  <si>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</si>
  <si>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</si>
  <si>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</si>
  <si>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</si>
  <si>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</si>
  <si>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</si>
  <si>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</si>
  <si>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</si>
  <si>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</si>
  <si>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</si>
  <si>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</si>
  <si>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</si>
  <si>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</si>
  <si>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</si>
  <si>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</si>
  <si>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</si>
  <si>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</si>
  <si>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</si>
  <si>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</si>
  <si>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</si>
  <si>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</si>
  <si>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</si>
  <si>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</si>
  <si>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</si>
  <si>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</si>
  <si>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</si>
  <si>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</si>
  <si>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</si>
  <si>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</si>
  <si>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</si>
  <si>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</si>
  <si>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</si>
  <si>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</si>
  <si>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</si>
  <si>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</si>
  <si>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</si>
  <si>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</si>
  <si>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</si>
  <si>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</si>
  <si>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</si>
  <si>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</si>
  <si>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</si>
  <si>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</si>
  <si>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</si>
  <si>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</si>
  <si>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</si>
  <si>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</si>
  <si>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</si>
  <si>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</si>
  <si>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</si>
  <si>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</si>
  <si>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</si>
  <si>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</si>
  <si>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</si>
  <si>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</si>
  <si>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</si>
  <si>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</si>
  <si>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</si>
  <si>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</si>
  <si>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</si>
  <si>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</si>
  <si>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</si>
  <si>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</si>
  <si>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</si>
  <si>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</si>
  <si>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</si>
  <si>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</si>
  <si>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</si>
  <si>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</si>
  <si>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</si>
  <si>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</si>
  <si>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</si>
  <si>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</si>
  <si>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</si>
  <si>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</si>
  <si>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</si>
  <si>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</si>
  <si>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</si>
  <si>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</si>
  <si>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</si>
  <si>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</si>
  <si>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</si>
  <si>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</si>
  <si>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</si>
  <si>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</si>
  <si>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</si>
  <si>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</si>
  <si>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</si>
  <si>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</si>
  <si>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</si>
  <si>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</si>
  <si>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</si>
  <si>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</si>
  <si>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</si>
  <si>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</si>
  <si>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</si>
  <si>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</si>
  <si>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</si>
  <si>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</si>
  <si>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</si>
  <si>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</si>
  <si>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</si>
  <si>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</si>
  <si>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</si>
  <si>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</si>
  <si>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</si>
  <si>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</si>
  <si>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</si>
  <si>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</si>
  <si>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</si>
  <si>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</si>
  <si>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</si>
  <si>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</si>
  <si>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</si>
  <si>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</si>
  <si>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</si>
  <si>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</si>
  <si>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</si>
  <si>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</si>
  <si>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</si>
  <si>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</si>
  <si>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</si>
  <si>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</si>
  <si>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</si>
  <si>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</si>
  <si>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</si>
  <si>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</si>
  <si>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</si>
  <si>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</si>
  <si>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</si>
  <si>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</si>
  <si>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</si>
  <si>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</si>
  <si>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</si>
  <si>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</si>
  <si>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</si>
  <si>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</si>
  <si>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</si>
  <si>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</si>
  <si>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</si>
  <si>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</si>
  <si>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</si>
  <si>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</si>
  <si>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</si>
  <si>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</si>
  <si>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</si>
  <si>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</si>
  <si>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</si>
  <si>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</si>
  <si>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</si>
  <si>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</si>
  <si>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</si>
  <si>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</si>
  <si>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</si>
  <si>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</si>
  <si>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</si>
  <si>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</si>
  <si>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</si>
  <si>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</si>
  <si>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</si>
  <si>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</si>
  <si>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</si>
  <si>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</si>
  <si>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</si>
  <si>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</si>
  <si>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</si>
  <si>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</si>
  <si>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</si>
  <si>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</si>
  <si>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</si>
  <si>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</si>
  <si>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</si>
  <si>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</si>
  <si>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</si>
  <si>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</si>
  <si>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</si>
  <si>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</si>
  <si>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</si>
  <si>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</si>
  <si>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</si>
  <si>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</si>
  <si>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</si>
  <si>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</si>
  <si>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</si>
  <si>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</si>
  <si>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</si>
  <si>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</si>
  <si>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</si>
  <si>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</si>
  <si>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</si>
  <si>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</si>
  <si>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</si>
  <si>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</si>
  <si>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</si>
  <si>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</si>
  <si>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</si>
  <si>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</si>
  <si>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</si>
  <si>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</si>
  <si>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</si>
  <si>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</si>
  <si>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</si>
  <si>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</si>
  <si>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</si>
  <si>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</si>
  <si>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</si>
  <si>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</si>
  <si>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</si>
  <si>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</si>
  <si>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</si>
  <si>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</si>
  <si>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</si>
  <si>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</si>
  <si>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</si>
  <si>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</si>
  <si>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</si>
  <si>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</si>
  <si>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</si>
  <si>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</si>
  <si>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</si>
  <si>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</si>
  <si>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</si>
  <si>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</si>
  <si>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</si>
  <si>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</si>
  <si>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</si>
  <si>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</si>
  <si>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</si>
  <si>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</si>
  <si>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</si>
  <si>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</si>
  <si>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</si>
  <si>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</si>
  <si>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</si>
  <si>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</si>
  <si>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</si>
  <si>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</si>
  <si>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</si>
  <si>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</si>
  <si>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</si>
  <si>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</si>
  <si>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</si>
  <si>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</si>
  <si>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</si>
  <si>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</si>
  <si>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</si>
  <si>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</si>
  <si>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</si>
  <si>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</si>
  <si>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</si>
  <si>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</si>
  <si>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</si>
  <si>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</si>
  <si>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</si>
  <si>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</si>
  <si>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</si>
  <si>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</si>
  <si>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</si>
  <si>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</si>
  <si>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</si>
  <si>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</si>
  <si>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</si>
  <si>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</si>
  <si>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</si>
  <si>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</si>
  <si>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</si>
  <si>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</si>
  <si>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</si>
  <si>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</si>
  <si>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</si>
  <si>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</si>
  <si>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</si>
  <si>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</si>
  <si>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</si>
  <si>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</si>
  <si>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</si>
  <si>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</si>
  <si>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</si>
  <si>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</si>
  <si>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</si>
  <si>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</si>
  <si>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</si>
  <si>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</si>
  <si>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</si>
  <si>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</si>
  <si>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</si>
  <si>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</si>
  <si>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</si>
  <si>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</si>
  <si>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</si>
  <si>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</si>
  <si>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</si>
  <si>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</si>
  <si>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</si>
  <si>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</si>
  <si>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</si>
  <si>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</si>
  <si>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</si>
  <si>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</si>
  <si>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</si>
  <si>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</si>
  <si>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</si>
  <si>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</si>
  <si>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</si>
  <si>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</si>
  <si>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</si>
  <si>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</si>
  <si>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</si>
  <si>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</si>
  <si>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</si>
  <si>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</si>
  <si>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</si>
  <si>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</si>
  <si>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</si>
  <si>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</si>
  <si>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</si>
  <si>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</si>
  <si>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</si>
  <si>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</si>
  <si>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</si>
  <si>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</si>
  <si>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</si>
  <si>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</si>
  <si>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</si>
  <si>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</si>
  <si>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</si>
  <si>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</si>
  <si>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</si>
  <si>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</si>
  <si>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</si>
  <si>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</si>
  <si>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</si>
  <si>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</si>
  <si>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</si>
  <si>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</si>
  <si>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</si>
  <si>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</si>
  <si>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</si>
  <si>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</si>
  <si>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</si>
  <si>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</si>
  <si>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</si>
  <si>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</si>
  <si>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</si>
  <si>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</si>
  <si>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</si>
  <si>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</si>
  <si>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</si>
  <si>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</si>
  <si>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</si>
  <si>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</si>
  <si>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</si>
  <si>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</si>
  <si>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</si>
  <si>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</si>
  <si>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</si>
  <si>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</si>
  <si>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</si>
  <si>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</si>
  <si>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</si>
  <si>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</si>
  <si>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</si>
  <si>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</si>
  <si>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</si>
  <si>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</si>
  <si>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</si>
  <si>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</si>
  <si>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</si>
  <si>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</si>
  <si>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</si>
  <si>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</si>
  <si>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</si>
  <si>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</si>
  <si>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</si>
  <si>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</si>
  <si>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</si>
  <si>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</si>
  <si>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</si>
  <si>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</si>
  <si>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</si>
  <si>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</si>
  <si>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</si>
  <si>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</si>
  <si>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</si>
  <si>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</si>
  <si>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</si>
  <si>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</si>
  <si>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</si>
  <si>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</si>
  <si>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</si>
  <si>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</si>
  <si>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</si>
  <si>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</si>
  <si>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</si>
  <si>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</si>
  <si>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</si>
  <si>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</si>
  <si>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</si>
  <si>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</si>
  <si>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</si>
  <si>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</si>
  <si>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</si>
  <si>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</si>
  <si>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</si>
  <si>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</si>
  <si>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</si>
  <si>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</si>
  <si>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</si>
  <si>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</si>
  <si>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</si>
  <si>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</si>
  <si>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</si>
  <si>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</si>
  <si>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</si>
  <si>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</si>
  <si>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</si>
  <si>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</si>
  <si>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</si>
  <si>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</si>
  <si>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</si>
  <si>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</si>
  <si>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</si>
  <si>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</si>
  <si>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</si>
  <si>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</si>
  <si>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</si>
  <si>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</si>
  <si>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</si>
  <si>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</si>
  <si>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</si>
  <si>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</si>
  <si>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</si>
  <si>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</si>
  <si>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</si>
  <si>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</si>
  <si>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</si>
  <si>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</si>
  <si>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</si>
  <si>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</si>
  <si>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</si>
  <si>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</si>
  <si>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</si>
  <si>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</si>
  <si>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</si>
  <si>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</si>
  <si>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</si>
  <si>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</si>
  <si>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</si>
  <si>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</si>
  <si>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</si>
  <si>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</si>
  <si>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</si>
  <si>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</si>
  <si>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</si>
  <si>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</si>
  <si>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</si>
  <si>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</si>
  <si>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</si>
  <si>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</si>
  <si>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</si>
  <si>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</si>
  <si>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</si>
  <si>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</si>
  <si>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</si>
  <si>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</si>
  <si>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</si>
  <si>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</si>
  <si>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</si>
  <si>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</si>
  <si>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</si>
  <si>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</si>
  <si>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</si>
  <si>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</si>
  <si>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</si>
  <si>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</si>
  <si>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</si>
  <si>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</si>
  <si>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</si>
  <si>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</si>
  <si>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</si>
  <si>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</si>
  <si>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</si>
  <si>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</si>
  <si>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</si>
  <si>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</si>
  <si>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</si>
  <si>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</si>
  <si>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</si>
  <si>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</si>
  <si>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</si>
  <si>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</si>
  <si>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</si>
  <si>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</si>
  <si>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</si>
  <si>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</si>
  <si>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</si>
  <si>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</si>
  <si>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</si>
  <si>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</si>
  <si>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</si>
  <si>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</si>
  <si>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</si>
  <si>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</si>
  <si>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</si>
  <si>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</si>
  <si>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</si>
  <si>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</si>
  <si>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</si>
  <si>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</si>
  <si>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</si>
  <si>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</si>
  <si>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</si>
  <si>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</si>
  <si>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</si>
  <si>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</si>
  <si>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</si>
  <si>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</si>
  <si>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</si>
  <si>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</si>
  <si>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</si>
  <si>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</si>
  <si>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</si>
  <si>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</si>
  <si>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</si>
  <si>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</si>
  <si>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</si>
  <si>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</si>
  <si>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</si>
  <si>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</si>
  <si>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</si>
  <si>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</si>
  <si>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</si>
  <si>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</si>
  <si>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</si>
  <si>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</si>
  <si>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</si>
  <si>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</si>
  <si>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</si>
  <si>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</si>
  <si>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</si>
  <si>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</si>
  <si>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</si>
  <si>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</si>
  <si>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</si>
  <si>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</si>
  <si>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</si>
  <si>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</si>
  <si>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</si>
  <si>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</si>
  <si>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</si>
  <si>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</si>
  <si>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</si>
  <si>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</si>
  <si>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</si>
  <si>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</si>
  <si>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</si>
  <si>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</si>
  <si>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</si>
  <si>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</si>
  <si>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</si>
  <si>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</si>
  <si>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</si>
  <si>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</si>
  <si>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</si>
  <si>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</si>
  <si>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</si>
  <si>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</si>
  <si>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</si>
  <si>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</si>
  <si>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</si>
  <si>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</si>
  <si>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</si>
  <si>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</si>
  <si>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</si>
  <si>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</si>
  <si>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</si>
  <si>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</si>
  <si>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</si>
  <si>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</si>
  <si>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</si>
  <si>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</si>
  <si>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</si>
  <si>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</si>
  <si>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</si>
  <si>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</si>
  <si>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</si>
  <si>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</si>
  <si>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</si>
  <si>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</si>
  <si>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</si>
  <si>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</si>
  <si>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</si>
  <si>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</si>
  <si>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</si>
  <si>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</si>
  <si>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</si>
  <si>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</si>
  <si>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</si>
  <si>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</si>
  <si>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</si>
  <si>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</si>
  <si>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</si>
  <si>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</si>
  <si>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</si>
  <si>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</si>
  <si>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</si>
  <si>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</si>
  <si>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</si>
  <si>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</si>
  <si>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</si>
  <si>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</si>
  <si>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</si>
  <si>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</si>
  <si>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</si>
  <si>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</si>
  <si>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</si>
  <si>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</si>
  <si>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</si>
  <si>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</si>
  <si>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</si>
  <si>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</si>
  <si>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</si>
  <si>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</si>
  <si>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</si>
  <si>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</si>
  <si>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</si>
  <si>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</si>
  <si>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</si>
  <si>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</si>
  <si>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</si>
  <si>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</si>
  <si>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</si>
  <si>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</si>
  <si>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</si>
  <si>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</si>
  <si>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</si>
  <si>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</si>
  <si>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</si>
  <si>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</si>
  <si>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</si>
  <si>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</si>
  <si>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</si>
  <si>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</si>
  <si>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</si>
  <si>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</si>
  <si>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</si>
  <si>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</si>
  <si>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</si>
  <si>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</si>
  <si>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</si>
  <si>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</si>
  <si>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</si>
  <si>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</si>
  <si>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</si>
  <si>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</si>
  <si>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</si>
  <si>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</si>
  <si>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</si>
  <si>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</si>
  <si>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</si>
  <si>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</si>
  <si>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</si>
  <si>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</si>
  <si>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</si>
  <si>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</si>
  <si>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</si>
  <si>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</si>
  <si>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</si>
  <si>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</si>
  <si>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</si>
  <si>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</si>
  <si>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</si>
  <si>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</si>
  <si>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</si>
  <si>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</si>
  <si>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</si>
  <si>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</si>
  <si>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</si>
  <si>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</si>
  <si>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</si>
  <si>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</si>
  <si>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</si>
  <si>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</si>
  <si>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</si>
  <si>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</si>
  <si>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</si>
  <si>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</si>
  <si>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</si>
  <si>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</si>
  <si>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</si>
  <si>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</si>
  <si>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</si>
  <si>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</si>
  <si>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</si>
  <si>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</si>
  <si>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</si>
  <si>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</si>
  <si>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</si>
  <si>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</si>
  <si>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</si>
  <si>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</si>
  <si>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</si>
  <si>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</si>
  <si>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</si>
  <si>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</si>
  <si>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</si>
  <si>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</si>
  <si>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</si>
  <si>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</si>
  <si>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</si>
  <si>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</si>
  <si>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</si>
  <si>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</si>
  <si>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</si>
  <si>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</si>
  <si>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</si>
  <si>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</si>
  <si>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</si>
  <si>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</si>
  <si>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</si>
  <si>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</si>
  <si>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</si>
  <si>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</si>
  <si>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</si>
  <si>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</si>
  <si>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</si>
  <si>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</si>
  <si>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</si>
  <si>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</si>
  <si>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</si>
  <si>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</si>
  <si>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</si>
  <si>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</si>
  <si>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</si>
  <si>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</si>
  <si>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</si>
  <si>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</si>
  <si>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</si>
  <si>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</si>
  <si>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</si>
  <si>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</si>
  <si>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</si>
  <si>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</si>
  <si>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</si>
  <si>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</si>
  <si>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</si>
  <si>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</si>
  <si>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</si>
  <si>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</si>
  <si>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</si>
  <si>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</si>
  <si>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</si>
  <si>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</si>
  <si>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</si>
  <si>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</si>
  <si>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</si>
  <si>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</si>
  <si>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</si>
  <si>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</si>
  <si>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</si>
  <si>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</si>
  <si>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</si>
  <si>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</si>
  <si>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</si>
  <si>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</si>
  <si>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</si>
  <si>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</si>
  <si>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</si>
  <si>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</si>
  <si>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</si>
  <si>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</si>
  <si>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</si>
  <si>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</si>
  <si>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</si>
  <si>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</si>
  <si>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</si>
  <si>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</si>
  <si>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</si>
  <si>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</si>
  <si>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</si>
  <si>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</si>
  <si>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</si>
  <si>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</si>
  <si>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</si>
  <si>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</si>
  <si>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</si>
  <si>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</si>
  <si>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</si>
  <si>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</si>
  <si>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</si>
  <si>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</si>
  <si>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</si>
  <si>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</si>
  <si>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</si>
  <si>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</si>
  <si>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</si>
  <si>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</si>
  <si>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</si>
  <si>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</si>
  <si>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</si>
  <si>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</si>
  <si>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</si>
  <si>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</si>
  <si>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</si>
  <si>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</si>
  <si>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</si>
  <si>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</si>
  <si>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</si>
  <si>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</si>
  <si>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</si>
  <si>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</si>
  <si>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</si>
  <si>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</si>
  <si>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</si>
  <si>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</si>
  <si>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</si>
  <si>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</si>
  <si>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</si>
  <si>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</si>
  <si>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</si>
  <si>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</si>
  <si>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</si>
  <si>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</si>
  <si>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</si>
  <si>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</si>
  <si>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</si>
  <si>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</si>
  <si>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</si>
  <si>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</si>
  <si>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</si>
  <si>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</si>
  <si>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</si>
  <si>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</si>
  <si>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</si>
  <si>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</si>
  <si>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</si>
  <si>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</si>
  <si>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</si>
  <si>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</si>
  <si>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</si>
  <si>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</si>
  <si>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</si>
  <si>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</si>
  <si>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</si>
  <si>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</si>
  <si>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</si>
  <si>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</si>
  <si>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</si>
  <si>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</si>
  <si>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</si>
  <si>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</si>
  <si>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</si>
  <si>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</si>
  <si>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</si>
  <si>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</si>
  <si>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</si>
  <si>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</si>
  <si>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</si>
  <si>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</si>
  <si>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</si>
  <si>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</si>
  <si>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</si>
  <si>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</si>
  <si>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</si>
  <si>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</si>
  <si>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</si>
  <si>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</si>
  <si>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</si>
  <si>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</si>
  <si>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</si>
  <si>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</si>
  <si>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</si>
  <si>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</si>
  <si>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</si>
  <si>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</si>
  <si>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</si>
  <si>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</si>
  <si>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</si>
  <si>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</si>
  <si>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</si>
  <si>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</si>
  <si>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</si>
  <si>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</si>
  <si>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</si>
  <si>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</si>
  <si>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</si>
  <si>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</si>
  <si>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</si>
  <si>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</si>
  <si>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</si>
  <si>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</si>
  <si>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</si>
  <si>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</si>
  <si>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</si>
  <si>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</si>
  <si>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</si>
  <si>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</si>
  <si>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</si>
  <si>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</si>
  <si>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</si>
  <si>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</si>
  <si>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</si>
  <si>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</si>
  <si>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</si>
  <si>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</si>
  <si>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</si>
  <si>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</si>
  <si>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</si>
  <si>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</si>
  <si>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</si>
  <si>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</si>
  <si>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</si>
  <si>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</si>
  <si>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</si>
  <si>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</si>
  <si>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</si>
  <si>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</si>
  <si>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</si>
  <si>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</si>
  <si>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</si>
  <si>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</si>
  <si>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</si>
  <si>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</si>
  <si>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</si>
  <si>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</si>
  <si>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</si>
  <si>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</si>
  <si>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</si>
  <si>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</si>
  <si>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</si>
  <si>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</si>
  <si>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</si>
  <si>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</si>
  <si>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</si>
  <si>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</si>
  <si>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</si>
  <si>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</si>
  <si>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</si>
  <si>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</si>
  <si>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</si>
  <si>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</si>
  <si>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</si>
  <si>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</si>
  <si>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</si>
  <si>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</si>
  <si>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</si>
  <si>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</si>
  <si>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</si>
  <si>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</si>
  <si>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</si>
  <si>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</si>
  <si>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</si>
  <si>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</si>
  <si>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</si>
  <si>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</si>
  <si>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</si>
  <si>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</si>
  <si>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</si>
  <si>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</si>
  <si>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</si>
  <si>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</si>
  <si>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</si>
  <si>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</si>
  <si>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</si>
  <si>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</si>
  <si>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</si>
  <si>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</si>
  <si>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</si>
  <si>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</si>
  <si>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</si>
  <si>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</si>
  <si>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</si>
  <si>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</si>
  <si>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</si>
  <si>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</si>
  <si>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</si>
  <si>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</si>
  <si>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</si>
  <si>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</si>
  <si>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</si>
  <si>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</si>
  <si>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</si>
  <si>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</si>
  <si>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</si>
  <si>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</si>
  <si>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</si>
  <si>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</si>
  <si>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</si>
  <si>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</si>
  <si>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</si>
  <si>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</si>
  <si>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</si>
  <si>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</si>
  <si>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</si>
  <si>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</si>
  <si>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</si>
  <si>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</si>
  <si>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</si>
  <si>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</si>
  <si>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</si>
  <si>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</si>
  <si>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</si>
  <si>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</si>
  <si>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</si>
  <si>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</si>
  <si>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</si>
  <si>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</si>
  <si>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</si>
  <si>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</si>
  <si>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</si>
  <si>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</si>
  <si>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</si>
  <si>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</si>
  <si>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</si>
  <si>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</si>
  <si>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</si>
  <si>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</si>
  <si>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</si>
  <si>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</si>
  <si>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</si>
  <si>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</si>
  <si>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</si>
  <si>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</si>
  <si>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</si>
  <si>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</si>
  <si>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</si>
  <si>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</si>
  <si>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</si>
  <si>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</si>
  <si>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</si>
  <si>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</si>
  <si>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</si>
  <si>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</si>
  <si>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</si>
  <si>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</si>
  <si>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</si>
  <si>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</si>
  <si>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</si>
  <si>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</si>
  <si>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</si>
  <si>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</si>
  <si>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</si>
  <si>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</si>
  <si>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</si>
  <si>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</si>
  <si>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</si>
  <si>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</si>
  <si>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</si>
  <si>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</si>
  <si>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</si>
  <si>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</si>
  <si>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</si>
  <si>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</si>
  <si>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</si>
  <si>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</si>
  <si>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</si>
  <si>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</si>
  <si>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</si>
  <si>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</si>
  <si>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</si>
  <si>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</si>
  <si>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</si>
  <si>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</si>
  <si>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</si>
  <si>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</si>
  <si>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</si>
  <si>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</si>
  <si>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</si>
  <si>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</si>
  <si>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</si>
  <si>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</si>
  <si>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</si>
  <si>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</si>
  <si>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</si>
  <si>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</si>
  <si>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</si>
  <si>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</si>
  <si>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</si>
  <si>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</si>
  <si>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</si>
  <si>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</si>
  <si>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</si>
  <si>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</si>
  <si>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</si>
  <si>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</si>
  <si>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</si>
  <si>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</si>
  <si>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</si>
  <si>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</si>
  <si>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</si>
  <si>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</si>
  <si>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</si>
  <si>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</si>
  <si>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</si>
  <si>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</si>
  <si>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</si>
  <si>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</si>
  <si>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</si>
  <si>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</si>
  <si>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</si>
  <si>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</si>
  <si>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</si>
  <si>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</si>
  <si>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</si>
  <si>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</si>
  <si>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</si>
  <si>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</si>
  <si>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</si>
  <si>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</si>
  <si>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</si>
  <si>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</si>
  <si>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</si>
  <si>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</si>
  <si>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</si>
  <si>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</si>
  <si>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</si>
  <si>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</si>
  <si>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</si>
  <si>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</si>
  <si>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</si>
  <si>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</si>
  <si>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</si>
  <si>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</si>
  <si>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</si>
  <si>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</si>
  <si>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</si>
  <si>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</si>
  <si>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</si>
  <si>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</si>
  <si>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</si>
  <si>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</si>
  <si>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</si>
  <si>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</si>
  <si>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</si>
  <si>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</si>
  <si>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</si>
  <si>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</si>
  <si>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</si>
  <si>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</si>
  <si>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</si>
  <si>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</si>
  <si>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</si>
  <si>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</si>
  <si>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</si>
  <si>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</si>
  <si>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</si>
  <si>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</si>
  <si>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</si>
  <si>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</si>
  <si>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</si>
  <si>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</si>
  <si>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</si>
  <si>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</si>
  <si>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</si>
  <si>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</si>
  <si>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</si>
  <si>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</si>
  <si>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</si>
  <si>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</si>
  <si>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</si>
  <si>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</si>
  <si>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</si>
  <si>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</si>
  <si>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</si>
  <si>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</si>
  <si>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</si>
  <si>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</si>
  <si>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</si>
  <si>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</si>
  <si>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</si>
  <si>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</si>
  <si>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</si>
  <si>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</si>
  <si>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</si>
  <si>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</si>
  <si>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</si>
  <si>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</si>
  <si>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</si>
  <si>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</si>
  <si>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</si>
  <si>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</si>
  <si>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</si>
  <si>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</si>
  <si>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</si>
  <si>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</si>
  <si>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</si>
  <si>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</si>
  <si>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</si>
  <si>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</si>
  <si>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</si>
  <si>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</si>
  <si>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</si>
  <si>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</si>
  <si>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</si>
  <si>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</si>
  <si>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</si>
  <si>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</si>
  <si>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</si>
  <si>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</si>
  <si>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</si>
  <si>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</si>
  <si>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</si>
  <si>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</si>
  <si>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</si>
  <si>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</si>
  <si>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</si>
  <si>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</si>
  <si>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</si>
  <si>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</si>
  <si>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</si>
  <si>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</si>
  <si>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</si>
  <si>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</si>
  <si>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</si>
  <si>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</si>
  <si>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</si>
  <si>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</si>
  <si>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</si>
  <si>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</si>
  <si>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</si>
  <si>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</si>
  <si>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</si>
  <si>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</si>
  <si>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</si>
  <si>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</si>
  <si>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</si>
  <si>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</si>
  <si>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</si>
  <si>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</si>
  <si>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</si>
  <si>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</si>
  <si>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</si>
  <si>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</si>
  <si>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</si>
  <si>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</si>
  <si>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</si>
  <si>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</si>
  <si>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</si>
  <si>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</si>
  <si>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</si>
  <si>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</si>
  <si>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</si>
  <si>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</si>
  <si>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</si>
  <si>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</si>
  <si>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</si>
  <si>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</si>
  <si>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</si>
  <si>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</si>
  <si>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</si>
  <si>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</si>
  <si>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</si>
  <si>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</si>
  <si>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</si>
  <si>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</si>
  <si>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</si>
  <si>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</si>
  <si>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</si>
  <si>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</si>
  <si>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</si>
  <si>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</si>
  <si>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</si>
  <si>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</si>
  <si>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</si>
  <si>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</si>
  <si>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</si>
  <si>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</si>
  <si>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</si>
  <si>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</si>
  <si>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</si>
  <si>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</si>
  <si>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</si>
  <si>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</si>
  <si>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</si>
  <si>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</si>
  <si>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</si>
  <si>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</si>
  <si>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</si>
  <si>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</si>
  <si>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</si>
  <si>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</si>
  <si>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</si>
  <si>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</si>
  <si>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</si>
  <si>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</si>
  <si>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</si>
  <si>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</si>
  <si>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</si>
  <si>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</si>
  <si>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</si>
  <si>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</si>
  <si>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</si>
  <si>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</si>
  <si>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</si>
  <si>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</si>
  <si>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</si>
  <si>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</si>
  <si>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</si>
  <si>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</si>
  <si>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</si>
  <si>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</si>
  <si>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</si>
  <si>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</si>
  <si>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</si>
  <si>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</si>
  <si>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</si>
  <si>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</si>
  <si>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</si>
  <si>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</si>
  <si>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</si>
  <si>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</si>
  <si>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</si>
  <si>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</si>
  <si>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</si>
  <si>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</si>
  <si>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</si>
  <si>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</si>
  <si>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</si>
  <si>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</si>
  <si>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</si>
  <si>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</si>
  <si>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</si>
  <si>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</si>
  <si>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</si>
  <si>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</si>
  <si>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</si>
  <si>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</si>
  <si>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</si>
  <si>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</si>
  <si>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</si>
  <si>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</si>
  <si>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</si>
  <si>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</si>
  <si>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</si>
  <si>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</si>
  <si>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</si>
  <si>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</si>
  <si>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</si>
  <si>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</si>
  <si>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</si>
  <si>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</si>
  <si>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</si>
  <si>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</si>
  <si>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</si>
  <si>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</si>
  <si>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</si>
  <si>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</si>
  <si>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</si>
  <si>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</si>
  <si>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</si>
  <si>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</si>
  <si>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</si>
  <si>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</si>
  <si>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</si>
  <si>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</si>
  <si>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</si>
  <si>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</si>
  <si>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</si>
  <si>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</si>
  <si>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</si>
  <si>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</si>
  <si>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</si>
  <si>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</si>
  <si>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</si>
  <si>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</si>
  <si>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</si>
  <si>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</si>
  <si>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</si>
  <si>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</si>
  <si>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</si>
  <si>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</si>
  <si>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</si>
  <si>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</si>
  <si>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</si>
  <si>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</si>
  <si>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</si>
  <si>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</si>
  <si>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</si>
  <si>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</si>
  <si>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</si>
  <si>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</si>
  <si>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</si>
  <si>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</si>
  <si>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</si>
  <si>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</si>
  <si>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</si>
  <si>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</si>
  <si>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</si>
  <si>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</si>
  <si>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</si>
  <si>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</si>
  <si>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</si>
  <si>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</si>
  <si>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</si>
  <si>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</si>
  <si>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</si>
  <si>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</si>
  <si>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</si>
  <si>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</si>
  <si>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</si>
  <si>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</si>
  <si>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</si>
  <si>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</si>
  <si>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</si>
  <si>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</si>
  <si>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</si>
  <si>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</si>
  <si>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</si>
  <si>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</si>
  <si>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</si>
  <si>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</si>
  <si>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</si>
  <si>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</si>
  <si>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</si>
  <si>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</si>
  <si>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</si>
  <si>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</si>
  <si>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</si>
  <si>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</si>
  <si>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</si>
  <si>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</si>
  <si>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</si>
  <si>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</si>
  <si>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</si>
  <si>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</si>
  <si>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</si>
  <si>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</si>
  <si>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</si>
  <si>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</si>
  <si>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</si>
  <si>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</si>
  <si>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</si>
  <si>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</si>
  <si>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</si>
  <si>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</si>
  <si>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</si>
  <si>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</si>
  <si>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</si>
  <si>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</si>
  <si>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</si>
  <si>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</si>
  <si>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</si>
  <si>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</si>
  <si>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</si>
  <si>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</si>
  <si>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</si>
  <si>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</si>
  <si>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</si>
  <si>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</si>
  <si>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</si>
  <si>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</si>
  <si>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</si>
  <si>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</si>
  <si>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</si>
  <si>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</si>
  <si>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</si>
  <si>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</si>
  <si>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</si>
  <si>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</si>
  <si>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</si>
  <si>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</si>
  <si>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</si>
  <si>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</si>
  <si>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</si>
  <si>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</si>
  <si>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</si>
  <si>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</si>
  <si>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</si>
  <si>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</si>
  <si>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</si>
  <si>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</si>
  <si>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</si>
  <si>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</si>
  <si>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</si>
  <si>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</si>
  <si>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</si>
  <si>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</si>
  <si>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</si>
  <si>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</si>
  <si>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</si>
  <si>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</si>
  <si>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</si>
  <si>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</si>
  <si>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</si>
  <si>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</si>
  <si>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</si>
  <si>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</si>
  <si>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</si>
  <si>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</si>
  <si>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</si>
  <si>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</si>
  <si>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</si>
  <si>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</si>
  <si>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</si>
  <si>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</si>
  <si>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</si>
  <si>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</si>
  <si>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</si>
  <si>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</si>
  <si>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</si>
  <si>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</si>
  <si>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</si>
  <si>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</si>
  <si>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</si>
  <si>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</si>
  <si>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</si>
  <si>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</si>
  <si>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</si>
  <si>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</si>
  <si>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</si>
  <si>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</si>
  <si>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</si>
  <si>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</si>
  <si>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</si>
  <si>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</si>
  <si>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</si>
  <si>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</si>
  <si>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</si>
  <si>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</si>
  <si>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</si>
  <si>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</si>
  <si>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</si>
  <si>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</si>
  <si>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</si>
  <si>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</si>
  <si>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</si>
  <si>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</si>
  <si>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</si>
  <si>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</si>
  <si>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</si>
  <si>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</si>
  <si>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</si>
  <si>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</si>
  <si>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</si>
  <si>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</si>
  <si>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</si>
  <si>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</si>
  <si>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</si>
  <si>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</si>
  <si>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</si>
  <si>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</si>
  <si>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</si>
  <si>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</si>
  <si>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</si>
  <si>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</si>
  <si>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</si>
  <si>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</si>
  <si>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</si>
  <si>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</si>
  <si>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</si>
  <si>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</si>
  <si>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</si>
  <si>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</si>
  <si>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</si>
  <si>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</si>
  <si>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</si>
  <si>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</si>
  <si>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</si>
  <si>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</si>
  <si>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</si>
  <si>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</si>
  <si>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</si>
  <si>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</si>
  <si>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</si>
  <si>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</si>
  <si>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</si>
  <si>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</si>
  <si>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</si>
  <si>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</si>
  <si>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</si>
  <si>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</si>
  <si>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</si>
  <si>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</si>
  <si>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</si>
  <si>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</si>
  <si>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</si>
  <si>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</si>
  <si>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</si>
  <si>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</si>
  <si>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</si>
  <si>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</si>
  <si>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</si>
  <si>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</si>
  <si>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</si>
  <si>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</si>
  <si>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</si>
  <si>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</si>
  <si>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</si>
  <si>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</si>
  <si>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</si>
  <si>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</si>
  <si>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</si>
  <si>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</si>
  <si>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</si>
  <si>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</si>
  <si>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</si>
  <si>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</si>
  <si>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</si>
  <si>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</si>
  <si>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</si>
  <si>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</si>
  <si>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</si>
  <si>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</si>
  <si>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</si>
  <si>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</si>
  <si>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</si>
  <si>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</si>
  <si>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</si>
  <si>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</si>
  <si>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</si>
  <si>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</si>
  <si>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</si>
  <si>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</si>
  <si>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</si>
  <si>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</si>
  <si>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</si>
  <si>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</si>
  <si>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</si>
  <si>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</si>
  <si>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</si>
  <si>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</si>
  <si>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</si>
  <si>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</si>
  <si>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</si>
  <si>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</si>
  <si>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</si>
  <si>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</si>
  <si>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</si>
  <si>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</si>
  <si>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</si>
  <si>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</si>
  <si>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</si>
  <si>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</si>
  <si>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</si>
  <si>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</si>
  <si>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</si>
  <si>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</si>
  <si>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</si>
  <si>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</si>
  <si>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</si>
  <si>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</si>
  <si>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</si>
  <si>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</si>
  <si>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</si>
  <si>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</si>
  <si>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</si>
  <si>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</si>
  <si>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</si>
  <si>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</si>
  <si>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</si>
  <si>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</si>
  <si>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</si>
  <si>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</si>
  <si>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</si>
  <si>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</si>
  <si>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</si>
  <si>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</si>
  <si>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</si>
  <si>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</si>
  <si>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</si>
  <si>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</si>
  <si>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</si>
  <si>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</si>
  <si>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</si>
  <si>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</si>
  <si>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</si>
  <si>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</si>
  <si>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</si>
  <si>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</si>
  <si>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</si>
  <si>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</si>
  <si>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</si>
  <si>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</si>
  <si>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</si>
  <si>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</si>
  <si>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</si>
  <si>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</si>
  <si>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</si>
  <si>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</si>
  <si>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</si>
  <si>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</si>
  <si>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</si>
  <si>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</si>
  <si>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</si>
  <si>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</si>
  <si>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</si>
  <si>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</si>
  <si>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</si>
  <si>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</si>
  <si>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</si>
  <si>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</si>
  <si>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</si>
  <si>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</si>
  <si>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</si>
  <si>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</si>
  <si>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</si>
  <si>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</si>
  <si>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</si>
  <si>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</si>
  <si>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</si>
  <si>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</si>
  <si>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</si>
  <si>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</si>
  <si>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</si>
  <si>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</si>
  <si>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</si>
  <si>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</si>
  <si>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</si>
  <si>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</si>
  <si>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</si>
  <si>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</si>
  <si>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</si>
  <si>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</si>
  <si>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</si>
  <si>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</si>
  <si>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</si>
  <si>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</si>
  <si>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</si>
  <si>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</si>
  <si>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</si>
  <si>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</si>
  <si>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</si>
  <si>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</si>
  <si>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</si>
  <si>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</si>
  <si>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</si>
  <si>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</si>
  <si>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</si>
  <si>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</si>
  <si>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</si>
  <si>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</si>
  <si>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</si>
  <si>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</si>
  <si>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</si>
  <si>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</si>
  <si>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</si>
  <si>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</si>
  <si>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</si>
  <si>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</si>
  <si>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</si>
  <si>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</si>
  <si>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</si>
  <si>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</si>
  <si>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</si>
  <si>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</si>
  <si>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</si>
  <si>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</si>
  <si>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</si>
  <si>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</si>
  <si>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</si>
  <si>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</si>
  <si>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</si>
  <si>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</si>
  <si>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</si>
  <si>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</si>
  <si>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</si>
  <si>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</si>
  <si>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</si>
  <si>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</si>
  <si>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</si>
  <si>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</si>
  <si>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</si>
  <si>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</si>
  <si>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</si>
  <si>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</si>
  <si>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</si>
  <si>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</si>
  <si>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</si>
  <si>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</si>
  <si>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</si>
  <si>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</si>
  <si>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</si>
  <si>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</si>
  <si>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</si>
  <si>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</si>
  <si>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</si>
  <si>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</si>
  <si>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</si>
  <si>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</si>
  <si>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</si>
  <si>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</si>
  <si>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</si>
  <si>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</si>
  <si>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</si>
  <si>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</si>
  <si>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</si>
  <si>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</si>
  <si>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</si>
  <si>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</si>
  <si>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</si>
  <si>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</si>
  <si>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</si>
  <si>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</si>
  <si>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</si>
  <si>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</si>
  <si>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</si>
  <si>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</si>
  <si>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</si>
  <si>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</si>
  <si>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</si>
  <si>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</si>
  <si>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</si>
  <si>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</si>
  <si>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</si>
  <si>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</si>
  <si>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</si>
  <si>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</si>
  <si>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</si>
  <si>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</si>
  <si>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</si>
  <si>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</si>
  <si>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</si>
  <si>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</si>
  <si>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</si>
  <si>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</si>
  <si>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</si>
  <si>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</si>
  <si>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</si>
  <si>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</si>
  <si>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</si>
  <si>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</si>
  <si>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</si>
  <si>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</si>
  <si>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</si>
  <si>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</si>
  <si>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</si>
  <si>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</si>
  <si>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</si>
  <si>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</si>
  <si>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</si>
  <si>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</si>
  <si>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</si>
  <si>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</si>
  <si>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</si>
  <si>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</si>
  <si>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</si>
  <si>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</si>
  <si>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</si>
  <si>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</si>
  <si>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</si>
  <si>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</si>
  <si>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</si>
  <si>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</si>
  <si>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</si>
  <si>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</si>
  <si>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</si>
  <si>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</si>
  <si>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</si>
  <si>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</si>
  <si>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</si>
  <si>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</si>
  <si>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</si>
  <si>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</si>
  <si>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</si>
  <si>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</si>
  <si>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</si>
  <si>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</si>
  <si>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</si>
  <si>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</si>
  <si>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</si>
  <si>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</si>
  <si>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</si>
  <si>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</si>
  <si>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</si>
  <si>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</si>
  <si>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</si>
  <si>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</si>
  <si>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</si>
  <si>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</si>
  <si>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</si>
  <si>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</si>
  <si>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</si>
  <si>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</si>
  <si>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</si>
  <si>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</si>
  <si>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</si>
  <si>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</si>
  <si>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</si>
  <si>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</si>
  <si>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</si>
  <si>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</si>
  <si>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</si>
  <si>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</si>
  <si>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</si>
  <si>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</si>
  <si>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</si>
  <si>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</si>
  <si>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</si>
  <si>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</si>
  <si>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</si>
  <si>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</si>
  <si>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</si>
  <si>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</si>
  <si>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</si>
  <si>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</si>
  <si>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</si>
  <si>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</si>
  <si>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</si>
  <si>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</si>
  <si>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</si>
  <si>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</si>
  <si>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</si>
  <si>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</si>
  <si>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</si>
  <si>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</si>
  <si>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</si>
  <si>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</si>
  <si>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</si>
  <si>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</si>
  <si>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</si>
  <si>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</si>
  <si>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</si>
  <si>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</si>
  <si>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</si>
  <si>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</si>
  <si>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</si>
  <si>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</si>
  <si>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</si>
  <si>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</si>
  <si>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</si>
  <si>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</si>
  <si>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</si>
  <si>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</si>
  <si>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</si>
  <si>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</si>
  <si>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</si>
  <si>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</si>
  <si>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</si>
  <si>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</si>
  <si>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</si>
  <si>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</si>
  <si>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</si>
  <si>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</si>
  <si>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</si>
  <si>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</si>
  <si>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</si>
  <si>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</si>
  <si>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</si>
  <si>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</si>
  <si>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</si>
  <si>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</si>
  <si>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</si>
  <si>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</si>
  <si>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</si>
  <si>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</si>
  <si>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</si>
  <si>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</si>
  <si>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</si>
  <si>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</si>
  <si>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</si>
  <si>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</si>
  <si>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</si>
  <si>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</si>
  <si>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</si>
  <si>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</si>
  <si>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</si>
  <si>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</si>
  <si>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</si>
  <si>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</si>
  <si>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</si>
  <si>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</si>
  <si>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</si>
  <si>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</si>
  <si>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</si>
  <si>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</si>
  <si>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</si>
  <si>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</si>
  <si>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</si>
  <si>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</si>
  <si>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</si>
  <si>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</si>
  <si>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</si>
  <si>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</si>
  <si>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</si>
  <si>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</si>
  <si>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</si>
  <si>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</si>
  <si>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</si>
  <si>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</si>
  <si>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</si>
  <si>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</si>
  <si>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</si>
  <si>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</si>
  <si>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</si>
  <si>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</si>
  <si>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</si>
  <si>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</si>
  <si>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</si>
  <si>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</si>
  <si>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</si>
  <si>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</si>
  <si>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</si>
  <si>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</si>
  <si>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</si>
  <si>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</si>
  <si>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</si>
  <si>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</si>
  <si>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</si>
  <si>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</si>
  <si>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</si>
  <si>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</si>
  <si>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</si>
  <si>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</si>
  <si>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</si>
  <si>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</si>
  <si>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</si>
  <si>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</si>
  <si>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</si>
  <si>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</si>
  <si>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</si>
  <si>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</si>
  <si>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</si>
  <si>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</si>
  <si>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</si>
  <si>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</si>
  <si>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</si>
  <si>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</si>
  <si>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</si>
  <si>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</si>
  <si>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</si>
  <si>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</si>
  <si>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</si>
  <si>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</si>
  <si>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</si>
  <si>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</si>
  <si>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</si>
  <si>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</si>
  <si>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</si>
  <si>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</si>
  <si>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</si>
  <si>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</si>
  <si>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</si>
  <si>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</si>
  <si>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</si>
  <si>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</si>
  <si>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</si>
  <si>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</si>
  <si>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</si>
  <si>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</si>
  <si>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</si>
  <si>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</si>
  <si>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</si>
  <si>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</si>
  <si>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</si>
  <si>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</si>
  <si>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</si>
  <si>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</si>
  <si>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</si>
  <si>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</si>
  <si>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</si>
  <si>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</si>
  <si>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</si>
  <si>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</si>
  <si>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</si>
  <si>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</si>
  <si>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</si>
  <si>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</si>
  <si>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</si>
  <si>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</si>
  <si>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</si>
  <si>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</si>
  <si>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</si>
  <si>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</si>
  <si>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</si>
  <si>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</si>
  <si>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</si>
  <si>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</si>
  <si>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</si>
  <si>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</si>
  <si>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</si>
  <si>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</si>
  <si>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</si>
  <si>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</si>
  <si>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</si>
  <si>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</si>
  <si>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</si>
  <si>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</si>
  <si>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</si>
  <si>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</si>
  <si>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</si>
  <si>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</si>
  <si>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</si>
  <si>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</si>
  <si>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</si>
  <si>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</si>
  <si>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</si>
  <si>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</si>
  <si>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</si>
  <si>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</si>
  <si>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</si>
  <si>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</si>
  <si>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</si>
  <si>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</si>
  <si>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</si>
  <si>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</si>
  <si>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</si>
  <si>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</si>
  <si>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</si>
  <si>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</si>
  <si>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</si>
  <si>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</si>
  <si>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</si>
  <si>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</si>
  <si>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</si>
  <si>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</si>
  <si>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</si>
  <si>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</si>
  <si>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</si>
  <si>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</si>
  <si>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</si>
  <si>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</si>
  <si>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</si>
  <si>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</si>
  <si>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</si>
  <si>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</si>
  <si>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</si>
  <si>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</si>
  <si>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</si>
  <si>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</si>
  <si>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</si>
  <si>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</si>
  <si>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</si>
  <si>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</si>
  <si>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</si>
  <si>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</si>
  <si>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</si>
  <si>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</si>
  <si>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</si>
  <si>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</si>
  <si>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</si>
  <si>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</si>
  <si>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</si>
  <si>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</si>
  <si>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</si>
  <si>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</si>
  <si>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</si>
  <si>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</si>
  <si>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</si>
  <si>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</si>
  <si>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</si>
  <si>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</si>
  <si>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</si>
  <si>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</si>
  <si>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</si>
  <si>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</si>
  <si>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</si>
  <si>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</si>
  <si>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</si>
  <si>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</si>
  <si>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</si>
  <si>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</si>
  <si>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</si>
  <si>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</si>
  <si>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</si>
  <si>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</si>
  <si>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</si>
  <si>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</si>
  <si>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</si>
  <si>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</si>
  <si>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</si>
  <si>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</si>
  <si>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</si>
  <si>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</si>
  <si>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</si>
  <si>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</si>
  <si>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</si>
  <si>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</si>
  <si>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</si>
  <si>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</si>
  <si>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</si>
  <si>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</si>
  <si>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</si>
  <si>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</si>
  <si>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</si>
  <si>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</si>
  <si>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</si>
  <si>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</si>
  <si>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</si>
  <si>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</si>
  <si>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</si>
  <si>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</si>
  <si>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</si>
  <si>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</si>
  <si>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</si>
  <si>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</si>
  <si>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</si>
  <si>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</si>
  <si>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</si>
  <si>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</si>
  <si>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</si>
  <si>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</si>
  <si>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</si>
  <si>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</si>
  <si>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</si>
  <si>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</si>
  <si>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</si>
  <si>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</si>
  <si>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</si>
  <si>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</si>
  <si>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</si>
  <si>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</si>
  <si>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</si>
  <si>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</si>
  <si>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</si>
  <si>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</si>
  <si>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</si>
  <si>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</si>
  <si>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</si>
  <si>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</si>
  <si>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</si>
  <si>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</si>
  <si>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</si>
  <si>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</si>
  <si>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</si>
  <si>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</si>
  <si>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</si>
  <si>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</si>
  <si>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</si>
  <si>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</si>
  <si>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</si>
  <si>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</si>
  <si>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</si>
  <si>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</si>
  <si>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</si>
  <si>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</si>
  <si>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</si>
  <si>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</si>
  <si>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</si>
  <si>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</si>
  <si>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</si>
  <si>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</si>
  <si>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</si>
  <si>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</si>
  <si>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</si>
  <si>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</si>
  <si>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</si>
  <si>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</si>
  <si>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</si>
  <si>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</si>
  <si>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</si>
  <si>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</si>
  <si>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</si>
  <si>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</si>
  <si>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</si>
  <si>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</si>
  <si>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</si>
  <si>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</si>
  <si>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</si>
  <si>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</si>
  <si>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</si>
  <si>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</si>
  <si>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</si>
  <si>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</si>
  <si>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</si>
  <si>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</si>
  <si>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</si>
  <si>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</si>
  <si>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</si>
  <si>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</si>
  <si>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</si>
  <si>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</si>
  <si>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</si>
  <si>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</si>
  <si>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</si>
  <si>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</si>
  <si>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</si>
  <si>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</si>
  <si>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</si>
  <si>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</si>
  <si>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</si>
  <si>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</si>
  <si>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</si>
  <si>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</si>
  <si>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</si>
  <si>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</si>
  <si>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</si>
  <si>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</si>
  <si>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</si>
  <si>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</si>
  <si>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</si>
  <si>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</si>
  <si>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</si>
  <si>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</si>
  <si>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</si>
  <si>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</si>
  <si>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</si>
  <si>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</si>
  <si>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</si>
  <si>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</si>
  <si>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</si>
  <si>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</si>
  <si>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</si>
  <si>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</si>
  <si>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</si>
  <si>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</si>
  <si>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</si>
  <si>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</si>
  <si>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</si>
  <si>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</si>
  <si>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</si>
  <si>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</si>
  <si>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</si>
  <si>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</si>
  <si>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</si>
  <si>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</si>
  <si>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</si>
  <si>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</si>
  <si>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</si>
  <si>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</si>
  <si>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</si>
  <si>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</si>
  <si>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</si>
  <si>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</si>
  <si>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</si>
  <si>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</si>
  <si>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</si>
  <si>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</si>
  <si>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</si>
  <si>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</si>
  <si>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</si>
  <si>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</si>
  <si>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</si>
  <si>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</si>
  <si>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</si>
  <si>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</si>
  <si>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</si>
  <si>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</si>
  <si>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</si>
  <si>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</si>
  <si>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</si>
  <si>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</si>
  <si>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</si>
  <si>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</si>
  <si>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</si>
  <si>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</si>
  <si>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</si>
  <si>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</si>
  <si>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</si>
  <si>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</si>
  <si>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</si>
  <si>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</si>
  <si>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</si>
  <si>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</si>
  <si>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</si>
  <si>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</si>
  <si>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</si>
  <si>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</si>
  <si>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</si>
  <si>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</si>
  <si>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</si>
  <si>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</si>
  <si>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</si>
  <si>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</si>
  <si>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</si>
  <si>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</si>
  <si>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</si>
  <si>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</si>
  <si>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</si>
  <si>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</si>
  <si>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</si>
  <si>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</si>
  <si>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</si>
  <si>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</si>
  <si>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</si>
  <si>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</si>
  <si>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</si>
  <si>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</si>
  <si>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</si>
  <si>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</si>
  <si>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</si>
  <si>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</si>
  <si>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</si>
  <si>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</si>
  <si>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</si>
  <si>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</si>
  <si>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</si>
  <si>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</si>
  <si>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</si>
  <si>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</si>
  <si>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</si>
  <si>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</si>
  <si>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</si>
  <si>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</si>
  <si>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</si>
  <si>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</si>
  <si>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</si>
  <si>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</si>
  <si>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</si>
  <si>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</si>
  <si>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</si>
  <si>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</si>
  <si>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</si>
  <si>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</si>
  <si>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</si>
  <si>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</si>
  <si>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</si>
  <si>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</si>
  <si>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</si>
  <si>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</si>
  <si>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</si>
  <si>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</si>
  <si>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</si>
  <si>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</si>
  <si>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</si>
  <si>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</si>
  <si>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</si>
  <si>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</si>
  <si>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</si>
  <si>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</si>
  <si>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</si>
  <si>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</si>
  <si>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</si>
  <si>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</si>
  <si>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</si>
  <si>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</si>
  <si>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</si>
  <si>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</si>
  <si>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</si>
  <si>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</si>
  <si>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</si>
  <si>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</si>
  <si>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</si>
  <si>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</si>
  <si>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</si>
  <si>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</si>
  <si>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</si>
  <si>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</si>
  <si>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</si>
  <si>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</si>
  <si>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</si>
  <si>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</si>
  <si>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</si>
  <si>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</si>
  <si>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</si>
  <si>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</si>
  <si>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</si>
  <si>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</si>
  <si>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</si>
  <si>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</si>
  <si>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</si>
  <si>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</si>
  <si>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</si>
  <si>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</si>
  <si>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</si>
  <si>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</si>
  <si>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</si>
  <si>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</si>
  <si>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</si>
  <si>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</si>
  <si>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</si>
  <si>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</si>
  <si>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</si>
  <si>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</si>
  <si>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</si>
  <si>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</si>
  <si>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</si>
  <si>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</si>
  <si>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</si>
  <si>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</si>
  <si>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</si>
  <si>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</si>
  <si>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</si>
  <si>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</si>
  <si>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</si>
  <si>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</si>
  <si>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</si>
  <si>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</si>
  <si>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</si>
  <si>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</si>
  <si>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</si>
  <si>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</si>
  <si>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</si>
  <si>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</si>
  <si>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</si>
  <si>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</si>
  <si>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</si>
  <si>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</si>
  <si>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</si>
  <si>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</si>
  <si>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</si>
  <si>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</si>
  <si>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</si>
  <si>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</si>
  <si>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</si>
  <si>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</si>
  <si>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</si>
  <si>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</si>
  <si>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</si>
  <si>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</si>
  <si>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</si>
  <si>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</si>
  <si>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</si>
  <si>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</si>
  <si>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</si>
  <si>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</si>
  <si>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</si>
  <si>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</si>
  <si>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</si>
  <si>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</si>
  <si>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</si>
  <si>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</si>
  <si>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</si>
  <si>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</si>
  <si>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</si>
  <si>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</si>
  <si>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</si>
  <si>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</si>
  <si>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</si>
  <si>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</si>
  <si>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</si>
  <si>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</si>
  <si>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</si>
  <si>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</si>
  <si>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</si>
  <si>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</si>
  <si>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</si>
  <si>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</si>
  <si>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</si>
  <si>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</si>
  <si>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</si>
  <si>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</si>
  <si>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</si>
  <si>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</si>
  <si>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</si>
  <si>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</si>
  <si>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</si>
  <si>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</si>
  <si>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</si>
  <si>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</si>
  <si>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</si>
  <si>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</si>
  <si>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</si>
  <si>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</si>
  <si>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</si>
  <si>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</si>
  <si>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</si>
  <si>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</si>
  <si>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</si>
  <si>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</si>
  <si>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</si>
  <si>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</si>
  <si>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</si>
  <si>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</si>
  <si>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</si>
  <si>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</si>
  <si>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</si>
  <si>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</si>
  <si>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</si>
  <si>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</si>
  <si>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</si>
  <si>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</si>
  <si>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</si>
  <si>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</si>
  <si>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</si>
  <si>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</si>
  <si>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</si>
  <si>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</si>
  <si>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</si>
  <si>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</si>
  <si>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</si>
  <si>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</si>
  <si>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</si>
  <si>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</si>
  <si>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</si>
  <si>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</si>
  <si>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</si>
  <si>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</si>
  <si>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</si>
  <si>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</si>
  <si>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</si>
  <si>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</si>
  <si>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</si>
  <si>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</si>
  <si>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</si>
  <si>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</si>
  <si>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</si>
  <si>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</si>
  <si>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</si>
  <si>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</si>
  <si>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</si>
  <si>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</si>
  <si>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</si>
  <si>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</si>
  <si>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</si>
  <si>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</si>
  <si>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</si>
  <si>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</si>
  <si>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</si>
  <si>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</si>
  <si>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</si>
  <si>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</si>
  <si>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</si>
  <si>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</si>
  <si>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</si>
  <si>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</si>
  <si>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</si>
  <si>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</si>
  <si>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</si>
  <si>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</si>
  <si>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</si>
  <si>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</si>
  <si>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</si>
  <si>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</si>
  <si>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</si>
  <si>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</si>
  <si>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</si>
  <si>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</si>
  <si>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</si>
  <si>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</si>
  <si>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</si>
  <si>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</si>
  <si>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</si>
  <si>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</si>
  <si>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</si>
  <si>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</si>
  <si>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</si>
  <si>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</si>
  <si>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</si>
  <si>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</si>
  <si>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</si>
  <si>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</si>
  <si>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</si>
  <si>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</si>
  <si>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</si>
  <si>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</si>
  <si>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</si>
  <si>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</si>
  <si>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</si>
  <si>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</si>
  <si>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</si>
  <si>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</si>
  <si>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</si>
  <si>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</si>
  <si>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</si>
  <si>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</si>
  <si>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</si>
  <si>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</si>
  <si>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</si>
  <si>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</si>
  <si>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</si>
  <si>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</si>
  <si>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</si>
  <si>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</si>
  <si>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</si>
  <si>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</si>
  <si>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</si>
  <si>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</si>
  <si>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</si>
  <si>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</si>
  <si>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</si>
  <si>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</si>
  <si>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</si>
  <si>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</si>
  <si>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</si>
  <si>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</si>
  <si>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</si>
  <si>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</si>
  <si>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</si>
  <si>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</si>
  <si>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</si>
  <si>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</si>
  <si>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</si>
  <si>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</si>
  <si>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</si>
  <si>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</si>
  <si>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</si>
  <si>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</si>
  <si>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</si>
  <si>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</si>
  <si>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</si>
  <si>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</si>
  <si>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</si>
  <si>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</si>
  <si>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</si>
  <si>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</si>
  <si>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</si>
  <si>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</si>
  <si>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</si>
  <si>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</si>
  <si>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</si>
  <si>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</si>
  <si>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</si>
  <si>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</si>
  <si>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</si>
  <si>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</si>
  <si>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</si>
  <si>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</si>
  <si>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</si>
  <si>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</si>
  <si>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</si>
  <si>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</si>
  <si>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</si>
  <si>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</si>
  <si>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</si>
  <si>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</si>
  <si>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</si>
  <si>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</si>
  <si>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</si>
  <si>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</si>
  <si>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</si>
  <si>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</si>
  <si>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</si>
  <si>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</si>
  <si>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</si>
  <si>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</si>
  <si>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</si>
  <si>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</si>
  <si>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</si>
  <si>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</si>
  <si>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</si>
  <si>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</si>
  <si>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</si>
  <si>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</si>
  <si>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</si>
  <si>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</si>
  <si>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</si>
  <si>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</si>
  <si>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</si>
  <si>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</si>
  <si>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</si>
  <si>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</si>
  <si>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</si>
  <si>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</si>
  <si>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</si>
  <si>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</si>
  <si>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</si>
  <si>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</si>
  <si>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</si>
  <si>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</si>
  <si>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</si>
  <si>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</si>
  <si>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</si>
  <si>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</si>
  <si>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</si>
  <si>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</si>
  <si>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</si>
  <si>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</si>
  <si>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</si>
  <si>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</si>
  <si>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</si>
  <si>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</si>
  <si>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</si>
  <si>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</si>
  <si>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</si>
  <si>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</si>
  <si>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</si>
  <si>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</si>
  <si>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</si>
  <si>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</si>
  <si>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</si>
  <si>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</si>
  <si>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</si>
  <si>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</si>
  <si>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</si>
  <si>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</si>
  <si>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</si>
  <si>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</si>
  <si>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</si>
  <si>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</si>
  <si>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</si>
  <si>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</si>
  <si>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</si>
  <si>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</si>
  <si>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</si>
  <si>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</si>
  <si>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</si>
  <si>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</si>
  <si>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</si>
  <si>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</si>
  <si>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</si>
  <si>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</si>
  <si>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</si>
  <si>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</si>
  <si>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</si>
  <si>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</si>
  <si>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</si>
  <si>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</si>
  <si>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</si>
  <si>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</si>
  <si>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</si>
  <si>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</si>
  <si>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</si>
  <si>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</si>
  <si>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</si>
  <si>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</si>
  <si>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</si>
  <si>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</si>
  <si>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</si>
  <si>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</si>
  <si>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</si>
  <si>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</si>
  <si>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</si>
  <si>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</si>
  <si>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</si>
  <si>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</si>
  <si>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</si>
  <si>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</si>
  <si>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</si>
  <si>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</si>
  <si>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</si>
  <si>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</si>
  <si>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</si>
  <si>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</si>
  <si>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</si>
  <si>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</si>
  <si>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</si>
  <si>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</si>
  <si>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</si>
  <si>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</si>
  <si>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</si>
  <si>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</si>
  <si>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</si>
  <si>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</si>
  <si>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</si>
  <si>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</si>
  <si>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</si>
  <si>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</si>
  <si>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</si>
  <si>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</si>
  <si>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</si>
  <si>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</si>
  <si>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</si>
  <si>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</si>
  <si>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</si>
  <si>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</si>
  <si>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</si>
  <si>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</si>
  <si>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</si>
  <si>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</si>
  <si>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</si>
  <si>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</si>
  <si>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</si>
  <si>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</si>
  <si>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</si>
  <si>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</si>
  <si>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</si>
  <si>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</si>
  <si>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</si>
  <si>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</si>
  <si>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</si>
  <si>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</si>
  <si>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</si>
  <si>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</si>
  <si>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</si>
  <si>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</si>
  <si>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</si>
  <si>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</si>
  <si>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</si>
  <si>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</si>
  <si>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</si>
  <si>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</si>
  <si>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</si>
  <si>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</si>
  <si>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</si>
  <si>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</si>
  <si>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</si>
  <si>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</si>
  <si>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</si>
  <si>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</si>
  <si>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</si>
  <si>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</si>
  <si>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</si>
  <si>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</si>
  <si>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</si>
  <si>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</si>
  <si>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</si>
  <si>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</si>
  <si>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</si>
  <si>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</si>
  <si>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</si>
  <si>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</si>
  <si>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</si>
  <si>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</si>
  <si>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</si>
  <si>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</si>
  <si>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</si>
  <si>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</si>
  <si>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</si>
  <si>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</si>
  <si>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</si>
  <si>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</si>
  <si>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</si>
  <si>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</si>
  <si>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</si>
  <si>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</si>
  <si>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</si>
  <si>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</si>
  <si>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</si>
  <si>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</si>
  <si>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</si>
  <si>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</si>
  <si>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</si>
  <si>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</si>
  <si>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</si>
  <si>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</si>
  <si>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</si>
  <si>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</si>
  <si>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</si>
  <si>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</si>
  <si>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</si>
  <si>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</si>
  <si>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</si>
  <si>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</si>
  <si>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</si>
  <si>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</si>
  <si>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</si>
  <si>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</si>
  <si>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</si>
  <si>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</si>
  <si>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</si>
  <si>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</si>
  <si>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</si>
  <si>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</si>
  <si>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</si>
  <si>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</si>
  <si>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</si>
  <si>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</si>
  <si>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</si>
  <si>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</si>
  <si>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</si>
  <si>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</si>
  <si>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</si>
  <si>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</si>
  <si>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</si>
  <si>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</si>
  <si>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</si>
  <si>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</si>
  <si>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</si>
  <si>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</si>
  <si>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</si>
  <si>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</si>
  <si>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</si>
  <si>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</si>
  <si>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</si>
  <si>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</si>
  <si>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</si>
  <si>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</si>
  <si>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</si>
  <si>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</si>
  <si>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</si>
  <si>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</si>
  <si>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</si>
  <si>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</si>
  <si>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</si>
  <si>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</si>
  <si>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</si>
  <si>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</si>
  <si>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</si>
  <si>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</si>
  <si>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</si>
  <si>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</si>
  <si>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</si>
  <si>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</si>
  <si>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</si>
  <si>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</si>
  <si>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</si>
  <si>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</si>
  <si>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</si>
  <si>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</si>
  <si>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</si>
  <si>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</si>
  <si>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</si>
  <si>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</si>
  <si>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</si>
  <si>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</si>
  <si>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</si>
  <si>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</si>
  <si>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</si>
  <si>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</si>
  <si>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</si>
  <si>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</si>
  <si>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</si>
  <si>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</si>
  <si>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</si>
  <si>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</si>
  <si>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</si>
  <si>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</si>
  <si>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</si>
  <si>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</si>
  <si>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</si>
  <si>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</si>
  <si>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</si>
  <si>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</si>
  <si>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</si>
  <si>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</si>
  <si>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</si>
  <si>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</si>
  <si>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</si>
  <si>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</si>
  <si>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</si>
  <si>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</si>
  <si>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</si>
  <si>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</si>
  <si>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</si>
  <si>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</si>
  <si>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</si>
  <si>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</si>
  <si>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</si>
  <si>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</si>
  <si>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</si>
  <si>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</si>
  <si>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</si>
  <si>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</si>
  <si>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</si>
  <si>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</si>
  <si>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</si>
  <si>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</si>
  <si>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</si>
  <si>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</si>
  <si>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</si>
  <si>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</si>
  <si>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</si>
  <si>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</si>
  <si>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</si>
  <si>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</si>
  <si>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</si>
  <si>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</si>
  <si>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</si>
  <si>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</si>
  <si>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</si>
  <si>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</si>
  <si>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</si>
  <si>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</si>
  <si>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</si>
  <si>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</si>
  <si>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</si>
  <si>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</si>
  <si>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</si>
  <si>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</si>
  <si>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</si>
  <si>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</si>
  <si>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</si>
  <si>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</si>
  <si>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</si>
  <si>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</si>
  <si>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</si>
  <si>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</si>
  <si>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</si>
  <si>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</si>
  <si>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</si>
  <si>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</si>
  <si>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</si>
  <si>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</si>
  <si>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</si>
  <si>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</si>
  <si>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</si>
  <si>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</si>
  <si>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</si>
  <si>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</si>
  <si>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</si>
  <si>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</si>
  <si>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</si>
  <si>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</si>
  <si>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</si>
  <si>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</si>
  <si>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</si>
  <si>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</si>
  <si>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</si>
  <si>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</si>
  <si>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</si>
  <si>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</si>
  <si>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</si>
  <si>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</si>
  <si>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</si>
  <si>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</si>
  <si>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</si>
  <si>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</si>
  <si>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</si>
  <si>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</si>
  <si>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</si>
  <si>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</si>
  <si>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</si>
  <si>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</si>
  <si>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</si>
  <si>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</si>
  <si>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</si>
  <si>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</si>
  <si>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</si>
  <si>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</si>
  <si>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</si>
  <si>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</si>
  <si>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</si>
  <si>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</si>
  <si>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</si>
  <si>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</si>
  <si>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</si>
  <si>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</si>
  <si>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</si>
  <si>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</si>
  <si>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</si>
  <si>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</si>
  <si>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</si>
  <si>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</si>
  <si>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</si>
  <si>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</si>
  <si>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</si>
  <si>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</si>
  <si>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</si>
  <si>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</si>
  <si>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</si>
  <si>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</si>
  <si>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</si>
  <si>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</si>
  <si>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</si>
  <si>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</si>
  <si>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</si>
  <si>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</si>
  <si>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</si>
  <si>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</si>
  <si>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</si>
  <si>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</si>
  <si>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</si>
  <si>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</si>
  <si>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</si>
  <si>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</si>
  <si>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</si>
  <si>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</si>
  <si>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</si>
  <si>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</si>
  <si>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</si>
  <si>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</si>
  <si>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</si>
  <si>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</si>
  <si>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</si>
  <si>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</si>
  <si>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</si>
  <si>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</si>
  <si>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</si>
  <si>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</si>
  <si>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</si>
  <si>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</si>
  <si>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</si>
  <si>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</si>
  <si>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</si>
  <si>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</si>
  <si>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</si>
  <si>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</si>
  <si>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</si>
  <si>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</si>
  <si>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</si>
  <si>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</si>
  <si>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</si>
  <si>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</si>
  <si>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</si>
  <si>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</si>
  <si>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</si>
  <si>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</si>
  <si>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</si>
  <si>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</si>
  <si>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</si>
  <si>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</si>
  <si>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</si>
  <si>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</si>
  <si>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</si>
  <si>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</si>
  <si>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</si>
  <si>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</si>
  <si>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</si>
  <si>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</si>
  <si>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</si>
  <si>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</si>
  <si>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</si>
  <si>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</si>
  <si>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</si>
  <si>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</si>
  <si>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</si>
  <si>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</si>
  <si>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</si>
  <si>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</si>
  <si>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</si>
  <si>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</si>
  <si>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</si>
  <si>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</si>
  <si>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</si>
  <si>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</si>
  <si>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</si>
  <si>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</si>
  <si>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</si>
  <si>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</si>
  <si>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</si>
  <si>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</si>
  <si>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</si>
  <si>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</si>
  <si>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</si>
  <si>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</si>
  <si>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</si>
  <si>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</si>
  <si>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</si>
  <si>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</si>
  <si>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</si>
  <si>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</si>
  <si>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</si>
  <si>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</si>
  <si>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</si>
  <si>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</si>
  <si>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</si>
  <si>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</si>
  <si>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</si>
  <si>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</si>
  <si>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</si>
  <si>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</si>
  <si>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</si>
  <si>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</si>
  <si>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</si>
  <si>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</si>
  <si>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</si>
  <si>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</si>
  <si>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</si>
  <si>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</si>
  <si>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</si>
  <si>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</si>
  <si>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</si>
  <si>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</si>
  <si>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</si>
  <si>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</si>
  <si>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</si>
  <si>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</si>
  <si>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</si>
  <si>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</si>
  <si>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</si>
  <si>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</si>
  <si>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</si>
  <si>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</si>
  <si>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</si>
  <si>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</si>
  <si>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</si>
  <si>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</si>
  <si>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</si>
  <si>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</si>
  <si>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</si>
  <si>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</si>
  <si>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</si>
  <si>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</si>
  <si>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</si>
  <si>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</si>
  <si>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</si>
  <si>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</si>
  <si>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</si>
  <si>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</si>
  <si>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</si>
  <si>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</si>
  <si>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</si>
  <si>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</si>
  <si>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</si>
  <si>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</si>
  <si>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</si>
  <si>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</si>
  <si>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</si>
  <si>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</si>
  <si>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</si>
  <si>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</si>
  <si>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</si>
  <si>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</si>
  <si>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</si>
  <si>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</si>
  <si>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</si>
  <si>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</si>
  <si>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</si>
  <si>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</si>
  <si>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</si>
  <si>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</si>
  <si>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</si>
  <si>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</si>
  <si>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</si>
  <si>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</si>
  <si>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</si>
  <si>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</si>
  <si>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</si>
  <si>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</si>
  <si>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</si>
  <si>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</si>
  <si>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</si>
  <si>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</si>
  <si>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</si>
  <si>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</si>
  <si>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</si>
  <si>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</si>
  <si>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</si>
  <si>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</si>
  <si>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</si>
  <si>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</si>
  <si>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</si>
  <si>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</si>
  <si>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</si>
  <si>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</si>
  <si>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</si>
  <si>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</si>
  <si>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</si>
  <si>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</si>
  <si>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</si>
  <si>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</si>
  <si>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</si>
  <si>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</si>
  <si>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</si>
  <si>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</si>
  <si>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</si>
  <si>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</si>
  <si>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</si>
  <si>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</si>
  <si>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</si>
  <si>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</si>
  <si>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</si>
  <si>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</si>
  <si>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</si>
  <si>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</si>
  <si>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</si>
  <si>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</si>
  <si>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</si>
  <si>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</si>
  <si>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</si>
  <si>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</si>
  <si>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</si>
  <si>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</si>
  <si>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</si>
  <si>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</si>
  <si>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</si>
  <si>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</si>
  <si>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</si>
  <si>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</si>
  <si>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</si>
  <si>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</si>
  <si>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</si>
  <si>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</si>
  <si>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</si>
  <si>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</si>
  <si>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</si>
  <si>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</si>
  <si>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</si>
  <si>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</si>
  <si>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</si>
  <si>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</si>
  <si>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</si>
  <si>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</si>
  <si>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</si>
  <si>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</si>
  <si>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</si>
  <si>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</si>
  <si>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</si>
  <si>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</si>
  <si>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</si>
  <si>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</si>
  <si>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</si>
  <si>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</si>
  <si>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</si>
  <si>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</si>
  <si>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</si>
  <si>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</si>
  <si>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</si>
  <si>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</si>
  <si>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</si>
  <si>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</si>
  <si>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</si>
  <si>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</si>
  <si>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</si>
  <si>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</si>
  <si>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</si>
  <si>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</si>
  <si>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</si>
  <si>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</si>
  <si>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</si>
  <si>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</si>
  <si>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</si>
  <si>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</si>
  <si>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</si>
  <si>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</si>
  <si>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</si>
  <si>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</si>
  <si>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</si>
  <si>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</si>
  <si>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</si>
  <si>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</si>
  <si>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</si>
  <si>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</si>
  <si>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</si>
  <si>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</si>
  <si>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</si>
  <si>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</si>
  <si>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</si>
  <si>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</si>
  <si>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</si>
  <si>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</si>
  <si>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</si>
  <si>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</si>
  <si>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</si>
  <si>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</si>
  <si>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</si>
  <si>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</si>
  <si>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</si>
  <si>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</si>
  <si>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</si>
  <si>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</si>
  <si>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</si>
  <si>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</si>
  <si>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</si>
  <si>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</si>
  <si>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</si>
  <si>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</si>
  <si>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</si>
  <si>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</si>
  <si>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</si>
  <si>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</si>
  <si>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</si>
  <si>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</si>
  <si>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</si>
  <si>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</si>
  <si>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</si>
  <si>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</si>
  <si>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</si>
  <si>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</si>
  <si>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</si>
  <si>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</si>
  <si>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</si>
  <si>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</si>
  <si>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</si>
  <si>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</si>
  <si>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</si>
  <si>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</si>
  <si>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</si>
  <si>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</si>
  <si>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</si>
  <si>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</si>
  <si>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</si>
  <si>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</si>
  <si>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</si>
  <si>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</si>
  <si>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</si>
  <si>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</si>
  <si>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</si>
  <si>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</si>
  <si>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</si>
  <si>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</si>
  <si>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</si>
  <si>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</si>
  <si>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</si>
  <si>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</si>
  <si>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</si>
  <si>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</si>
  <si>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</si>
  <si>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</si>
  <si>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</si>
  <si>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</si>
  <si>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</si>
  <si>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</si>
  <si>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</si>
  <si>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</si>
  <si>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</si>
  <si>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</si>
  <si>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</si>
  <si>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</si>
  <si>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</si>
  <si>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</si>
  <si>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</si>
  <si>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</si>
  <si>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</si>
  <si>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</si>
  <si>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</si>
  <si>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</si>
  <si>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</si>
  <si>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</si>
  <si>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</si>
  <si>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</si>
  <si>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</si>
  <si>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</si>
  <si>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</si>
  <si>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</si>
  <si>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</si>
  <si>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</si>
  <si>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</si>
  <si>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</si>
  <si>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</si>
  <si>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</si>
  <si>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</si>
  <si>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</si>
  <si>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</si>
  <si>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</si>
  <si>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</si>
  <si>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</si>
  <si>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</si>
  <si>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</si>
  <si>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</si>
  <si>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</si>
  <si>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</si>
  <si>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</si>
  <si>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</si>
  <si>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</si>
  <si>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</si>
  <si>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</si>
  <si>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</si>
  <si>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</si>
  <si>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</si>
  <si>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</si>
  <si>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</si>
  <si>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</si>
  <si>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</si>
  <si>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</si>
  <si>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</si>
  <si>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</si>
  <si>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</si>
  <si>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</si>
  <si>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</si>
  <si>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</si>
  <si>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</si>
  <si>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</si>
  <si>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</si>
  <si>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</si>
  <si>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</si>
  <si>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</si>
  <si>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</si>
  <si>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</si>
  <si>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</si>
  <si>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</si>
  <si>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</si>
  <si>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</si>
  <si>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</si>
  <si>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</si>
  <si>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</si>
  <si>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</si>
  <si>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</si>
  <si>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</si>
  <si>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</si>
  <si>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</si>
  <si>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</si>
  <si>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</si>
  <si>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</si>
  <si>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</si>
  <si>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</si>
  <si>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</si>
  <si>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</si>
  <si>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</si>
  <si>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</si>
  <si>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</si>
  <si>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</si>
  <si>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</si>
  <si>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</si>
  <si>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</si>
  <si>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</si>
  <si>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</si>
  <si>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</si>
  <si>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</si>
  <si>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</si>
  <si>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</si>
  <si>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</si>
  <si>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</si>
  <si>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</si>
  <si>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</si>
  <si>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</si>
  <si>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</si>
  <si>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</si>
  <si>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</si>
  <si>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</si>
  <si>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</si>
  <si>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</si>
  <si>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</si>
  <si>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</si>
  <si>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</si>
  <si>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</si>
  <si>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</si>
  <si>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</si>
  <si>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</si>
  <si>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</si>
  <si>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</si>
  <si>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</si>
  <si>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</si>
  <si>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</si>
  <si>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</si>
  <si>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</si>
  <si>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</si>
  <si>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</si>
  <si>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</si>
  <si>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</si>
  <si>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</si>
  <si>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</si>
  <si>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</si>
  <si>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</si>
  <si>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</si>
  <si>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</si>
  <si>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</si>
  <si>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</si>
  <si>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</si>
  <si>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</si>
  <si>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</si>
  <si>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</si>
  <si>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</si>
  <si>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</si>
  <si>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</si>
  <si>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</si>
  <si>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</si>
  <si>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</si>
  <si>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</si>
  <si>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</si>
  <si>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</si>
  <si>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</si>
  <si>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</si>
  <si>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</si>
  <si>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</si>
  <si>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</si>
  <si>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</si>
  <si>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</si>
  <si>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</si>
  <si>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</si>
  <si>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</si>
  <si>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</si>
  <si>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</si>
  <si>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</si>
  <si>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</si>
  <si>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</si>
  <si>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</si>
  <si>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</si>
  <si>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</si>
  <si>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</si>
  <si>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</si>
  <si>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</si>
  <si>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</si>
  <si>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</si>
  <si>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</si>
  <si>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</si>
  <si>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</si>
  <si>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</si>
  <si>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</si>
  <si>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</si>
  <si>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</si>
  <si>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</si>
  <si>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</si>
  <si>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</si>
  <si>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</si>
  <si>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</si>
  <si>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</si>
  <si>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</si>
  <si>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</si>
  <si>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</si>
  <si>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</si>
  <si>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</si>
  <si>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</si>
  <si>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</si>
  <si>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</si>
  <si>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</si>
  <si>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</si>
  <si>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</si>
  <si>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</si>
  <si>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1923 SVEUČILIŠTE U ZAGREBU - AGRONOMSKI FAKULTET</t>
  </si>
  <si>
    <t>Zagreb, 26.09.2022.</t>
  </si>
  <si>
    <t>prof.dr.sc. Milan Poljak</t>
  </si>
  <si>
    <t>prodekan.poslovodstvo@agr.hr</t>
  </si>
  <si>
    <t>SVEUČILIŠTE U ZADRU (23815)</t>
  </si>
  <si>
    <t>HRVATSKA ZAKLADA ZA ZNANOST (52209)</t>
  </si>
  <si>
    <t>SVEUČILIŠTE U ZAGREBU (2436)</t>
  </si>
  <si>
    <t>SVEUČILIŠTE U ZAGREBU - FAKULTET ŠUMARSTVA I DRVNE TEHNOLOGIJE (1896)</t>
  </si>
  <si>
    <t>Educational Capacity Strengthening for Risk Managment-RiskMan</t>
  </si>
  <si>
    <t>KK.05.1.1.02.0011</t>
  </si>
  <si>
    <t>ERASMUM Capacity buliding in higer education</t>
  </si>
  <si>
    <t>AGRISAT</t>
  </si>
  <si>
    <t>Napredni sustav motrenja agroekosustava i rizik od zaslanjivanja i onečišćenja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</si>
</sst>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4" fontId="0" fillId="0" borderId="0" xfId="0" applyNumberFormat="1" applyProtection="1">
      <protection locked="0"/>
    </xf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opLeftCell="A7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7" t="s">
        <v>5277</v>
      </c>
      <c r="D3" s="358"/>
      <c r="E3" s="359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60" t="s">
        <v>5278</v>
      </c>
      <c r="D4" s="361"/>
      <c r="E4" s="362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60" t="s">
        <v>5279</v>
      </c>
      <c r="D5" s="361"/>
      <c r="E5" s="362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60">
        <v>2393779</v>
      </c>
      <c r="D6" s="361"/>
      <c r="E6" s="362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60" t="s">
        <v>5280</v>
      </c>
      <c r="D7" s="361"/>
      <c r="E7" s="362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2" t="s">
        <v>5270</v>
      </c>
      <c r="C9" s="353"/>
      <c r="D9" s="353"/>
      <c r="E9" s="353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2" t="s">
        <v>3</v>
      </c>
      <c r="C11" s="353"/>
      <c r="D11" s="353"/>
      <c r="E11" s="353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5" t="s">
        <v>5082</v>
      </c>
      <c r="C13" s="356"/>
      <c r="D13" s="356"/>
      <c r="E13" s="356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15190418</v>
      </c>
      <c r="D16" s="107">
        <f>+D17+D18</f>
        <v>14946400</v>
      </c>
      <c r="E16" s="107">
        <f>+E17+E18</f>
        <v>14820711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15157622</v>
      </c>
      <c r="D17" s="110">
        <f>+'A.1 PRIHODI'!D30</f>
        <v>14912948</v>
      </c>
      <c r="E17" s="110">
        <f>+'A.1 PRIHODI'!D44</f>
        <v>14786590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32796</v>
      </c>
      <c r="D18" s="110">
        <f>+'A.1 PRIHODI'!D33</f>
        <v>33452</v>
      </c>
      <c r="E18" s="110">
        <f>+'A.1 PRIHODI'!D47</f>
        <v>34121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14848129</v>
      </c>
      <c r="D19" s="114">
        <f>+D20+D21</f>
        <v>14685719</v>
      </c>
      <c r="E19" s="114">
        <f>+E20+E21</f>
        <v>14652278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13464964</v>
      </c>
      <c r="D20" s="116">
        <f>+'A.2 RASHODI'!D22</f>
        <v>13376299</v>
      </c>
      <c r="E20" s="116">
        <f>+'A.2 RASHODI'!D39</f>
        <v>13405829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1383165</v>
      </c>
      <c r="D21" s="116">
        <f>+'A.2 RASHODI'!D30</f>
        <v>1309420</v>
      </c>
      <c r="E21" s="116">
        <f>+'A.2 RASHODI'!D47</f>
        <v>1246449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342289</v>
      </c>
      <c r="D22" s="107">
        <f>+D16-D19</f>
        <v>260681</v>
      </c>
      <c r="E22" s="107">
        <f>+E16-E19</f>
        <v>168433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4"/>
      <c r="C23" s="353"/>
      <c r="D23" s="353"/>
      <c r="E23" s="353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2" t="s">
        <v>5085</v>
      </c>
      <c r="C24" s="353"/>
      <c r="D24" s="353"/>
      <c r="E24" s="353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565025</v>
      </c>
      <c r="D29" s="115">
        <f>+'Unos prijenosa'!D13</f>
        <v>907314</v>
      </c>
      <c r="E29" s="115">
        <f>+'Unos prijenosa'!D21</f>
        <v>1167995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-907314</v>
      </c>
      <c r="D30" s="119">
        <f>+'Unos prijenosa'!D15</f>
        <v>-1167995</v>
      </c>
      <c r="E30" s="120">
        <f>+'Unos prijenosa'!D23</f>
        <v>-1335428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-342289</v>
      </c>
      <c r="D31" s="114">
        <f t="shared" ref="D31:E31" si="2">+D27-D28+D29+D30</f>
        <v>-260681</v>
      </c>
      <c r="E31" s="114">
        <f t="shared" si="2"/>
        <v>-167433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4"/>
      <c r="C32" s="353"/>
      <c r="D32" s="353"/>
      <c r="E32" s="353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1000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2" t="s">
        <v>5270</v>
      </c>
      <c r="C55" s="353"/>
      <c r="D55" s="353"/>
      <c r="E55" s="353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2" t="s">
        <v>3</v>
      </c>
      <c r="C57" s="353"/>
      <c r="D57" s="353"/>
      <c r="E57" s="353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5" t="s">
        <v>5082</v>
      </c>
      <c r="C59" s="356"/>
      <c r="D59" s="356"/>
      <c r="E59" s="356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114452204.421</v>
      </c>
      <c r="D62" s="107">
        <f>+D63+D64</f>
        <v>112613650.8</v>
      </c>
      <c r="E62" s="107">
        <f>+E63+E64</f>
        <v>111666647.02950001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114205102.95900001</v>
      </c>
      <c r="D63" s="110">
        <f t="shared" ref="D63:E63" si="3">+D17*7.5345</f>
        <v>112361606.706</v>
      </c>
      <c r="E63" s="110">
        <f t="shared" si="3"/>
        <v>111409562.355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247101.462</v>
      </c>
      <c r="D64" s="110">
        <f t="shared" ref="D64:E67" si="4">+D18*7.5345</f>
        <v>252044.09400000001</v>
      </c>
      <c r="E64" s="110">
        <f t="shared" si="4"/>
        <v>257084.67450000002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111873227.9505</v>
      </c>
      <c r="D65" s="114">
        <f>+D66+D67</f>
        <v>110649549.8055</v>
      </c>
      <c r="E65" s="114">
        <f>+E66+E67</f>
        <v>110397588.59100001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101451771.258</v>
      </c>
      <c r="D66" s="110">
        <f t="shared" si="4"/>
        <v>100783724.81550001</v>
      </c>
      <c r="E66" s="110">
        <f t="shared" si="4"/>
        <v>101006218.6005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10421456.692500001</v>
      </c>
      <c r="D67" s="110">
        <f t="shared" si="4"/>
        <v>9865824.9900000002</v>
      </c>
      <c r="E67" s="110">
        <f t="shared" si="4"/>
        <v>9391369.9905000012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2578976.4705000073</v>
      </c>
      <c r="D68" s="107">
        <f>+D62-D65</f>
        <v>1964100.9944999963</v>
      </c>
      <c r="E68" s="107">
        <f>+E62-E65</f>
        <v>1269058.438500002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4"/>
      <c r="C69" s="353"/>
      <c r="D69" s="353"/>
      <c r="E69" s="353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2" t="s">
        <v>5085</v>
      </c>
      <c r="C70" s="353"/>
      <c r="D70" s="353"/>
      <c r="E70" s="353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4257180.8624999998</v>
      </c>
      <c r="D75" s="110">
        <f t="shared" si="9"/>
        <v>6836157.3330000006</v>
      </c>
      <c r="E75" s="110">
        <f t="shared" si="9"/>
        <v>8800258.3275000006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-6836157.3330000006</v>
      </c>
      <c r="D76" s="110">
        <f t="shared" si="10"/>
        <v>-8800258.3275000006</v>
      </c>
      <c r="E76" s="110">
        <f t="shared" si="10"/>
        <v>-10061782.266000001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-2578976.4705000008</v>
      </c>
      <c r="D77" s="114">
        <f t="shared" ref="D77:E77" si="11">+D73-D74+D75+D76</f>
        <v>-1964100.9945</v>
      </c>
      <c r="E77" s="114">
        <f t="shared" si="11"/>
        <v>-1261523.9385000002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4"/>
      <c r="C78" s="353"/>
      <c r="D78" s="353"/>
      <c r="E78" s="353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6.5192580223083496E-9</v>
      </c>
      <c r="D79" s="124">
        <f t="shared" ref="D79:E79" si="12">+D68+D77</f>
        <v>-3.7252902984619141E-9</v>
      </c>
      <c r="E79" s="124">
        <f t="shared" si="12"/>
        <v>7534.5000000018626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topLeftCell="A4"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6" t="s">
        <v>5115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7" t="s">
        <v>236</v>
      </c>
      <c r="C4" s="368"/>
      <c r="D4" s="369" t="s">
        <v>1711</v>
      </c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1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7" t="s">
        <v>236</v>
      </c>
      <c r="C15" s="368"/>
      <c r="D15" s="369" t="s">
        <v>1782</v>
      </c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1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7" t="s">
        <v>236</v>
      </c>
      <c r="C26" s="368"/>
      <c r="D26" s="369" t="s">
        <v>3026</v>
      </c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1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A83" sqref="A83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topLeftCell="A25"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2" t="s">
        <v>3542</v>
      </c>
      <c r="B1" s="372"/>
      <c r="C1" s="372"/>
      <c r="D1" s="372"/>
      <c r="E1" s="372"/>
      <c r="F1" s="372"/>
      <c r="G1" s="372"/>
      <c r="H1" s="372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3" t="s">
        <v>5080</v>
      </c>
      <c r="B615" s="373"/>
      <c r="C615" s="373"/>
      <c r="D615" s="373"/>
      <c r="E615" s="373"/>
      <c r="F615" s="373"/>
      <c r="G615" s="373"/>
      <c r="H615" s="373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tabSelected="1" zoomScale="90" zoomScaleNormal="90" workbookViewId="0">
      <pane ySplit="2" topLeftCell="A3" activePane="bottomLeft" state="frozen"/>
      <selection pane="bottomLeft" activeCell="I21" sqref="I21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3" t="s">
        <v>5271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11007373</v>
      </c>
      <c r="H3" s="128">
        <v>11007373</v>
      </c>
      <c r="I3" s="128">
        <v>11007373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43</v>
      </c>
      <c r="D4" s="83" t="str">
        <f t="shared" si="1"/>
        <v>Ostali prihodi za posebne namjene</v>
      </c>
      <c r="E4" s="95">
        <v>65264</v>
      </c>
      <c r="F4" s="134" t="str">
        <f t="shared" si="2"/>
        <v>Sufinanciranje cijene usluge, participacije i slično</v>
      </c>
      <c r="G4" s="128">
        <v>1561468</v>
      </c>
      <c r="H4" s="128">
        <v>1609874</v>
      </c>
      <c r="I4" s="128">
        <v>1609874</v>
      </c>
      <c r="J4" s="95"/>
      <c r="L4" s="86" t="str">
        <f t="shared" ref="L4:L67" si="3">LEFT(E4,2)</f>
        <v>65</v>
      </c>
      <c r="M4" s="86" t="str">
        <f t="shared" ref="M4:M67" si="4">LEFT(E4,3)</f>
        <v>652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6614</v>
      </c>
      <c r="F5" s="134" t="str">
        <f t="shared" si="2"/>
        <v>Prihodi od prodanih proizvoda i robe</v>
      </c>
      <c r="G5" s="128">
        <v>190564</v>
      </c>
      <c r="H5" s="128">
        <v>194376</v>
      </c>
      <c r="I5" s="128">
        <v>198263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6615</v>
      </c>
      <c r="F6" s="134" t="str">
        <f t="shared" si="2"/>
        <v>Prihodi od pruženih usluga</v>
      </c>
      <c r="G6" s="128">
        <v>1634093</v>
      </c>
      <c r="H6" s="128">
        <v>1666774</v>
      </c>
      <c r="I6" s="128">
        <v>1700110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/>
      </c>
      <c r="B7" s="84" t="str">
        <f>IF(E7="","",VLOOKUP('OPĆI DIO'!$C$3,'OPĆI DIO'!$L$6:$U$138,9,FALSE))</f>
        <v/>
      </c>
      <c r="C7" s="130" t="str">
        <f t="shared" si="0"/>
        <v/>
      </c>
      <c r="D7" s="83" t="str">
        <f t="shared" si="1"/>
        <v/>
      </c>
      <c r="E7" s="95"/>
      <c r="F7" s="134" t="str">
        <f t="shared" si="2"/>
        <v/>
      </c>
      <c r="G7" s="128"/>
      <c r="H7" s="128"/>
      <c r="I7" s="128"/>
      <c r="J7" s="95"/>
      <c r="L7" s="86" t="str">
        <f t="shared" si="3"/>
        <v/>
      </c>
      <c r="M7" s="86" t="str">
        <f t="shared" si="4"/>
        <v/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/>
      </c>
      <c r="B8" s="84" t="str">
        <f>IF(E8="","",VLOOKUP('OPĆI DIO'!$C$3,'OPĆI DIO'!$L$6:$U$138,9,FALSE))</f>
        <v/>
      </c>
      <c r="C8" s="130" t="str">
        <f t="shared" si="0"/>
        <v/>
      </c>
      <c r="D8" s="83" t="str">
        <f t="shared" si="1"/>
        <v/>
      </c>
      <c r="E8" s="95"/>
      <c r="F8" s="134" t="str">
        <f t="shared" si="2"/>
        <v/>
      </c>
      <c r="G8" s="128"/>
      <c r="H8" s="128"/>
      <c r="I8" s="128"/>
      <c r="J8" s="95"/>
      <c r="L8" s="86" t="str">
        <f t="shared" si="3"/>
        <v/>
      </c>
      <c r="M8" s="86" t="str">
        <f t="shared" si="4"/>
        <v/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51</v>
      </c>
      <c r="D9" s="83" t="str">
        <f t="shared" si="1"/>
        <v xml:space="preserve">Pomoći EU </v>
      </c>
      <c r="E9" s="95">
        <v>632311700</v>
      </c>
      <c r="F9" s="134" t="str">
        <f t="shared" si="2"/>
        <v>Tekuće pomoći od institucija i tijela EU - ostalo</v>
      </c>
      <c r="G9" s="128">
        <v>100000</v>
      </c>
      <c r="H9" s="128"/>
      <c r="I9" s="128"/>
      <c r="J9" s="95"/>
      <c r="L9" s="86" t="str">
        <f t="shared" si="3"/>
        <v>63</v>
      </c>
      <c r="M9" s="86" t="str">
        <f t="shared" si="4"/>
        <v>632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/>
      </c>
      <c r="B11" s="84" t="str">
        <f>IF(E11="","",VLOOKUP('OPĆI DIO'!$C$3,'OPĆI DIO'!$L$6:$U$138,9,FALSE))</f>
        <v/>
      </c>
      <c r="C11" s="130" t="str">
        <f t="shared" si="0"/>
        <v/>
      </c>
      <c r="D11" s="83" t="str">
        <f t="shared" si="1"/>
        <v/>
      </c>
      <c r="E11" s="95"/>
      <c r="F11" s="134" t="str">
        <f t="shared" si="2"/>
        <v/>
      </c>
      <c r="G11" s="128"/>
      <c r="H11" s="128"/>
      <c r="I11" s="128"/>
      <c r="J11" s="95"/>
      <c r="L11" s="86" t="str">
        <f t="shared" si="3"/>
        <v/>
      </c>
      <c r="M11" s="86" t="str">
        <f t="shared" si="4"/>
        <v/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61</v>
      </c>
      <c r="D12" s="83" t="str">
        <f t="shared" si="1"/>
        <v xml:space="preserve">Donacije </v>
      </c>
      <c r="E12" s="95">
        <v>663130000</v>
      </c>
      <c r="F12" s="134" t="str">
        <f t="shared" si="2"/>
        <v>Tekuće donacije od trgovačkih društava</v>
      </c>
      <c r="G12" s="128">
        <v>1327</v>
      </c>
      <c r="H12" s="128">
        <v>1327</v>
      </c>
      <c r="I12" s="128">
        <v>1500</v>
      </c>
      <c r="J12" s="95"/>
      <c r="L12" s="86" t="str">
        <f t="shared" si="3"/>
        <v>66</v>
      </c>
      <c r="M12" s="86" t="str">
        <f t="shared" si="4"/>
        <v>663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61</v>
      </c>
      <c r="D13" s="83" t="str">
        <f t="shared" si="1"/>
        <v xml:space="preserve">Donacije </v>
      </c>
      <c r="E13" s="95">
        <v>663140000</v>
      </c>
      <c r="F13" s="134" t="str">
        <f t="shared" si="2"/>
        <v>Tekuće donacije od ostalih subjekata izvan općeg proračuna</v>
      </c>
      <c r="G13" s="128">
        <v>9210</v>
      </c>
      <c r="H13" s="128">
        <v>9000</v>
      </c>
      <c r="I13" s="128">
        <v>9000</v>
      </c>
      <c r="J13" s="95"/>
      <c r="L13" s="86" t="str">
        <f t="shared" si="3"/>
        <v>66</v>
      </c>
      <c r="M13" s="86" t="str">
        <f t="shared" si="4"/>
        <v>663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71</v>
      </c>
      <c r="D16" s="83" t="str">
        <f t="shared" si="1"/>
        <v>Prihodi od prodaje ili zamjene nefinancijske imovine i naknade s naslova osiguranja</v>
      </c>
      <c r="E16" s="95">
        <v>725210071</v>
      </c>
      <c r="F16" s="134" t="str">
        <f t="shared" si="2"/>
        <v>Osnovno stado izvor 71</v>
      </c>
      <c r="G16" s="128">
        <v>32796</v>
      </c>
      <c r="H16" s="128">
        <v>33452</v>
      </c>
      <c r="I16" s="128">
        <v>34121</v>
      </c>
      <c r="J16" s="95"/>
      <c r="L16" s="86" t="str">
        <f t="shared" si="3"/>
        <v>72</v>
      </c>
      <c r="M16" s="86" t="str">
        <f t="shared" si="4"/>
        <v>725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52</v>
      </c>
      <c r="D17" s="83" t="str">
        <f t="shared" si="1"/>
        <v xml:space="preserve">Ostale pomoći i darovnice </v>
      </c>
      <c r="E17" s="95">
        <v>6391</v>
      </c>
      <c r="F17" s="134" t="str">
        <f t="shared" si="2"/>
        <v>Tekući prijenosi između proračunskih korisnika istog proračuna</v>
      </c>
      <c r="G17" s="128">
        <v>25358</v>
      </c>
      <c r="H17" s="128"/>
      <c r="I17" s="128"/>
      <c r="J17" s="95" t="s">
        <v>5281</v>
      </c>
      <c r="L17" s="86" t="str">
        <f t="shared" si="3"/>
        <v>63</v>
      </c>
      <c r="M17" s="86" t="str">
        <f t="shared" si="4"/>
        <v>639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52</v>
      </c>
      <c r="D18" s="83" t="str">
        <f t="shared" si="1"/>
        <v xml:space="preserve">Ostale pomoći i darovnice </v>
      </c>
      <c r="E18" s="95">
        <v>6391</v>
      </c>
      <c r="F18" s="134" t="str">
        <f t="shared" si="2"/>
        <v>Tekući prijenosi između proračunskih korisnika istog proračuna</v>
      </c>
      <c r="G18" s="128">
        <v>132996</v>
      </c>
      <c r="H18" s="128">
        <v>109170</v>
      </c>
      <c r="I18" s="128">
        <v>22766</v>
      </c>
      <c r="J18" s="95" t="s">
        <v>5282</v>
      </c>
      <c r="L18" s="86" t="str">
        <f t="shared" si="3"/>
        <v>63</v>
      </c>
      <c r="M18" s="86" t="str">
        <f t="shared" si="4"/>
        <v>639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52</v>
      </c>
      <c r="D19" s="83" t="str">
        <f t="shared" si="1"/>
        <v xml:space="preserve">Ostale pomoći i darovnice </v>
      </c>
      <c r="E19" s="95">
        <v>6391</v>
      </c>
      <c r="F19" s="134" t="str">
        <f t="shared" si="2"/>
        <v>Tekući prijenosi između proračunskih korisnika istog proračuna</v>
      </c>
      <c r="G19" s="128">
        <v>339472</v>
      </c>
      <c r="H19" s="128">
        <v>283834</v>
      </c>
      <c r="I19" s="128">
        <v>165534</v>
      </c>
      <c r="J19" s="95" t="s">
        <v>5282</v>
      </c>
      <c r="L19" s="86" t="str">
        <f t="shared" si="3"/>
        <v>63</v>
      </c>
      <c r="M19" s="86" t="str">
        <f t="shared" si="4"/>
        <v>639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>08006</v>
      </c>
      <c r="B20" s="84" t="str">
        <f>IF(E20="","",VLOOKUP('OPĆI DIO'!$C$3,'OPĆI DIO'!$L$6:$U$138,9,FALSE))</f>
        <v>Sveučilišta i veleučilišta u Republici Hrvatskoj</v>
      </c>
      <c r="C20" s="130">
        <f t="shared" si="0"/>
        <v>52</v>
      </c>
      <c r="D20" s="83" t="str">
        <f t="shared" si="1"/>
        <v xml:space="preserve">Ostale pomoći i darovnice </v>
      </c>
      <c r="E20" s="95">
        <v>6393</v>
      </c>
      <c r="F20" s="134" t="str">
        <f t="shared" si="2"/>
        <v>Tekući prijenosi između proračunskih korisnika istog proračuna temeljem prijenosa EU sredstava</v>
      </c>
      <c r="G20" s="128">
        <v>144340</v>
      </c>
      <c r="H20" s="128"/>
      <c r="I20" s="128">
        <v>72170</v>
      </c>
      <c r="J20" s="95" t="s">
        <v>5283</v>
      </c>
      <c r="L20" s="86" t="str">
        <f t="shared" si="3"/>
        <v>63</v>
      </c>
      <c r="M20" s="86" t="str">
        <f t="shared" si="4"/>
        <v>639</v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52</v>
      </c>
      <c r="D21" s="83" t="str">
        <f t="shared" si="1"/>
        <v xml:space="preserve">Ostale pomoći i darovnice </v>
      </c>
      <c r="E21" s="95">
        <v>6393</v>
      </c>
      <c r="F21" s="134" t="str">
        <f t="shared" si="2"/>
        <v>Tekući prijenosi između proračunskih korisnika istog proračuna temeljem prijenosa EU sredstava</v>
      </c>
      <c r="G21" s="128"/>
      <c r="H21" s="128">
        <v>31220</v>
      </c>
      <c r="I21" s="128"/>
      <c r="J21" s="95" t="s">
        <v>5283</v>
      </c>
      <c r="L21" s="86" t="str">
        <f t="shared" si="3"/>
        <v>63</v>
      </c>
      <c r="M21" s="86" t="str">
        <f t="shared" si="4"/>
        <v>639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>08006</v>
      </c>
      <c r="B22" s="84" t="str">
        <f>IF(E22="","",VLOOKUP('OPĆI DIO'!$C$3,'OPĆI DIO'!$L$6:$U$138,9,FALSE))</f>
        <v>Sveučilišta i veleučilišta u Republici Hrvatskoj</v>
      </c>
      <c r="C22" s="130">
        <f t="shared" si="0"/>
        <v>52</v>
      </c>
      <c r="D22" s="83" t="str">
        <f t="shared" si="1"/>
        <v xml:space="preserve">Ostale pomoći i darovnice </v>
      </c>
      <c r="E22" s="95">
        <v>6393</v>
      </c>
      <c r="F22" s="134" t="str">
        <f t="shared" si="2"/>
        <v>Tekući prijenosi između proračunskih korisnika istog proračuna temeljem prijenosa EU sredstava</v>
      </c>
      <c r="G22" s="128">
        <v>11421</v>
      </c>
      <c r="H22" s="128"/>
      <c r="I22" s="128"/>
      <c r="J22" s="95" t="s">
        <v>5284</v>
      </c>
      <c r="L22" s="86" t="str">
        <f t="shared" si="3"/>
        <v>63</v>
      </c>
      <c r="M22" s="86" t="str">
        <f t="shared" si="4"/>
        <v>639</v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1327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42" activePane="bottomLeft" state="frozen"/>
      <selection pane="bottomLeft" activeCell="L3" sqref="L3:L12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4" t="s">
        <v>5272</v>
      </c>
      <c r="B1" s="364"/>
      <c r="C1" s="364"/>
      <c r="D1" s="364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48</v>
      </c>
      <c r="H3" s="91" t="str">
        <f>IFERROR(VLOOKUP(G3,$AB$6:$AC$327,2,FALSE),"")</f>
        <v>REDOVNA DJELATNOST SVEUČILIŠTA U ZAGREBU</v>
      </c>
      <c r="I3" s="91" t="str">
        <f>IFERROR(VLOOKUP(G3,$AB$6:$AF$327,3,FALSE),"")</f>
        <v>0942</v>
      </c>
      <c r="J3" s="128">
        <v>8752670</v>
      </c>
      <c r="K3" s="128">
        <v>8752670</v>
      </c>
      <c r="L3" s="128">
        <v>8752670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48</v>
      </c>
      <c r="H4" s="91" t="str">
        <f t="shared" ref="H4:H67" si="3">IFERROR(VLOOKUP(G4,$AB$6:$AC$327,2,FALSE),"")</f>
        <v>REDOVNA DJELATNOST SVEUČILIŠTA U ZAGREBU</v>
      </c>
      <c r="I4" s="91" t="str">
        <f t="shared" ref="I4:I67" si="4">IFERROR(VLOOKUP(G4,$AB$6:$AF$327,3,FALSE),"")</f>
        <v>0942</v>
      </c>
      <c r="J4" s="128">
        <v>163700</v>
      </c>
      <c r="K4" s="128">
        <v>163700</v>
      </c>
      <c r="L4" s="128">
        <v>163700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48</v>
      </c>
      <c r="H5" s="91" t="str">
        <f t="shared" si="3"/>
        <v>REDOVNA DJELATNOST SVEUČILIŠTA U ZAGREBU</v>
      </c>
      <c r="I5" s="91" t="str">
        <f t="shared" si="4"/>
        <v>0942</v>
      </c>
      <c r="J5" s="128">
        <v>1000952</v>
      </c>
      <c r="K5" s="128">
        <v>1000952</v>
      </c>
      <c r="L5" s="128">
        <v>1000952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48</v>
      </c>
      <c r="H6" s="91" t="str">
        <f t="shared" si="3"/>
        <v>REDOVNA DJELATNOST SVEUČILIŠTA U ZAGREBU</v>
      </c>
      <c r="I6" s="91" t="str">
        <f t="shared" si="4"/>
        <v>0942</v>
      </c>
      <c r="J6" s="128">
        <v>247186</v>
      </c>
      <c r="K6" s="128">
        <v>247186</v>
      </c>
      <c r="L6" s="128">
        <v>247186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48</v>
      </c>
      <c r="H7" s="91" t="str">
        <f t="shared" si="3"/>
        <v>REDOVNA DJELATNOST SVEUČILIŠTA U ZAGREBU</v>
      </c>
      <c r="I7" s="91" t="str">
        <f t="shared" si="4"/>
        <v>0942</v>
      </c>
      <c r="J7" s="128">
        <v>42103</v>
      </c>
      <c r="K7" s="128">
        <v>42103</v>
      </c>
      <c r="L7" s="128">
        <v>42103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3223</v>
      </c>
      <c r="F8" s="91" t="str">
        <f t="shared" si="2"/>
        <v>Energija</v>
      </c>
      <c r="G8" s="129" t="s">
        <v>48</v>
      </c>
      <c r="H8" s="91" t="str">
        <f t="shared" si="3"/>
        <v>REDOVNA DJELATNOST SVEUČILIŠTA U ZAGREBU</v>
      </c>
      <c r="I8" s="91" t="str">
        <f t="shared" si="4"/>
        <v>0942</v>
      </c>
      <c r="J8" s="128">
        <v>100257</v>
      </c>
      <c r="K8" s="128">
        <v>100257</v>
      </c>
      <c r="L8" s="128">
        <v>100257</v>
      </c>
      <c r="M8" s="95"/>
      <c r="O8" s="86" t="str">
        <f t="shared" si="5"/>
        <v>322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3232</v>
      </c>
      <c r="F9" s="91" t="str">
        <f t="shared" si="2"/>
        <v>Usluge tekućeg i investicijskog održavanja</v>
      </c>
      <c r="G9" s="129" t="s">
        <v>48</v>
      </c>
      <c r="H9" s="91" t="str">
        <f t="shared" si="3"/>
        <v>REDOVNA DJELATNOST SVEUČILIŠTA U ZAGREBU</v>
      </c>
      <c r="I9" s="91" t="str">
        <f t="shared" si="4"/>
        <v>0942</v>
      </c>
      <c r="J9" s="128">
        <v>100148</v>
      </c>
      <c r="K9" s="128">
        <v>100148</v>
      </c>
      <c r="L9" s="128">
        <v>100148</v>
      </c>
      <c r="M9" s="95"/>
      <c r="O9" s="86" t="str">
        <f t="shared" si="5"/>
        <v>323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3234</v>
      </c>
      <c r="F10" s="91" t="str">
        <f t="shared" si="2"/>
        <v>Komunalne usluge</v>
      </c>
      <c r="G10" s="129" t="s">
        <v>48</v>
      </c>
      <c r="H10" s="91" t="str">
        <f t="shared" si="3"/>
        <v>REDOVNA DJELATNOST SVEUČILIŠTA U ZAGREBU</v>
      </c>
      <c r="I10" s="91" t="str">
        <f t="shared" si="4"/>
        <v>0942</v>
      </c>
      <c r="J10" s="128">
        <v>63621</v>
      </c>
      <c r="K10" s="128">
        <v>63621</v>
      </c>
      <c r="L10" s="128">
        <v>63621</v>
      </c>
      <c r="M10" s="95"/>
      <c r="O10" s="86" t="str">
        <f t="shared" si="5"/>
        <v>323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3239</v>
      </c>
      <c r="F11" s="91" t="str">
        <f t="shared" si="2"/>
        <v>Ostale usluge</v>
      </c>
      <c r="G11" s="129" t="s">
        <v>48</v>
      </c>
      <c r="H11" s="91" t="str">
        <f t="shared" si="3"/>
        <v>REDOVNA DJELATNOST SVEUČILIŠTA U ZAGREBU</v>
      </c>
      <c r="I11" s="91" t="str">
        <f t="shared" si="4"/>
        <v>0942</v>
      </c>
      <c r="J11" s="128">
        <v>426580</v>
      </c>
      <c r="K11" s="128">
        <v>426580</v>
      </c>
      <c r="L11" s="128">
        <v>426580</v>
      </c>
      <c r="M11" s="95"/>
      <c r="O11" s="86" t="str">
        <f t="shared" si="5"/>
        <v>323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3221</v>
      </c>
      <c r="F12" s="91" t="str">
        <f t="shared" si="2"/>
        <v>Uredski materijal i ostali materijalni rashodi</v>
      </c>
      <c r="G12" s="129" t="s">
        <v>48</v>
      </c>
      <c r="H12" s="91" t="str">
        <f t="shared" si="3"/>
        <v>REDOVNA DJELATNOST SVEUČILIŠTA U ZAGREBU</v>
      </c>
      <c r="I12" s="91" t="str">
        <f t="shared" si="4"/>
        <v>0942</v>
      </c>
      <c r="J12" s="128">
        <v>110156</v>
      </c>
      <c r="K12" s="128">
        <v>110156</v>
      </c>
      <c r="L12" s="128">
        <v>110156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/>
      </c>
      <c r="B13" s="90" t="str">
        <f>IF(C13="","",VLOOKUP('OPĆI DIO'!$C$3,'OPĆI DIO'!$L$6:$U$138,9,FALSE))</f>
        <v/>
      </c>
      <c r="C13" s="96"/>
      <c r="D13" s="91" t="str">
        <f t="shared" si="1"/>
        <v/>
      </c>
      <c r="E13" s="96"/>
      <c r="F13" s="91" t="str">
        <f t="shared" si="2"/>
        <v/>
      </c>
      <c r="G13" s="129"/>
      <c r="H13" s="91" t="str">
        <f t="shared" si="3"/>
        <v/>
      </c>
      <c r="I13" s="91" t="str">
        <f t="shared" si="4"/>
        <v/>
      </c>
      <c r="J13" s="128"/>
      <c r="K13" s="128"/>
      <c r="L13" s="128"/>
      <c r="M13" s="95"/>
      <c r="O13" s="86" t="str">
        <f t="shared" si="5"/>
        <v/>
      </c>
      <c r="P13" s="86" t="str">
        <f t="shared" si="6"/>
        <v/>
      </c>
      <c r="Q13" s="86" t="str">
        <f t="shared" si="7"/>
        <v/>
      </c>
      <c r="R13" s="86" t="str">
        <f t="shared" si="8"/>
        <v/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43</v>
      </c>
      <c r="D14" s="91" t="str">
        <f t="shared" si="1"/>
        <v>Ostali prihodi za posebne namjene</v>
      </c>
      <c r="E14" s="96">
        <v>4521</v>
      </c>
      <c r="F14" s="91" t="str">
        <f t="shared" si="2"/>
        <v>Dodatna ulaganja na postrojenjima i opremi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946320</v>
      </c>
      <c r="K14" s="128">
        <v>910254</v>
      </c>
      <c r="L14" s="128">
        <v>900659</v>
      </c>
      <c r="M14" s="95"/>
      <c r="O14" s="86" t="str">
        <f t="shared" si="5"/>
        <v>452</v>
      </c>
      <c r="P14" s="86" t="str">
        <f t="shared" si="6"/>
        <v>45</v>
      </c>
      <c r="Q14" s="86" t="str">
        <f t="shared" si="7"/>
        <v>43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43</v>
      </c>
      <c r="D15" s="91" t="str">
        <f t="shared" si="1"/>
        <v>Ostali prihodi za posebne namjene</v>
      </c>
      <c r="E15" s="96">
        <v>3111</v>
      </c>
      <c r="F15" s="91" t="str">
        <f t="shared" si="2"/>
        <v>Plaće za redovan rad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322312</v>
      </c>
      <c r="K15" s="128">
        <v>455698</v>
      </c>
      <c r="L15" s="128">
        <v>455698</v>
      </c>
      <c r="M15" s="95"/>
      <c r="O15" s="86" t="str">
        <f t="shared" si="5"/>
        <v>311</v>
      </c>
      <c r="P15" s="86" t="str">
        <f t="shared" si="6"/>
        <v>31</v>
      </c>
      <c r="Q15" s="86" t="str">
        <f t="shared" si="7"/>
        <v>43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43</v>
      </c>
      <c r="D16" s="91" t="str">
        <f t="shared" si="1"/>
        <v>Ostali prihodi za posebne namjene</v>
      </c>
      <c r="E16" s="96">
        <v>3239</v>
      </c>
      <c r="F16" s="91" t="str">
        <f t="shared" si="2"/>
        <v>Ostale usluge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292836</v>
      </c>
      <c r="K16" s="128">
        <v>243922</v>
      </c>
      <c r="L16" s="128">
        <v>253517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43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/>
      </c>
      <c r="B17" s="90" t="str">
        <f>IF(C17="","",VLOOKUP('OPĆI DIO'!$C$3,'OPĆI DIO'!$L$6:$U$138,9,FALSE))</f>
        <v/>
      </c>
      <c r="C17" s="96"/>
      <c r="D17" s="91" t="str">
        <f t="shared" si="1"/>
        <v/>
      </c>
      <c r="E17" s="96"/>
      <c r="F17" s="91" t="str">
        <f t="shared" si="2"/>
        <v/>
      </c>
      <c r="G17" s="129"/>
      <c r="H17" s="91" t="str">
        <f t="shared" si="3"/>
        <v/>
      </c>
      <c r="I17" s="91" t="str">
        <f t="shared" si="4"/>
        <v/>
      </c>
      <c r="J17" s="128"/>
      <c r="K17" s="128"/>
      <c r="L17" s="128"/>
      <c r="M17" s="95"/>
      <c r="O17" s="86" t="str">
        <f t="shared" si="5"/>
        <v/>
      </c>
      <c r="P17" s="86" t="str">
        <f t="shared" si="6"/>
        <v/>
      </c>
      <c r="Q17" s="86" t="str">
        <f t="shared" si="7"/>
        <v/>
      </c>
      <c r="R17" s="86" t="str">
        <f t="shared" si="8"/>
        <v/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31</v>
      </c>
      <c r="D18" s="91" t="str">
        <f t="shared" si="1"/>
        <v>Vlastiti prihodi</v>
      </c>
      <c r="E18" s="96">
        <v>3111</v>
      </c>
      <c r="F18" s="91" t="str">
        <f t="shared" si="2"/>
        <v>Plaće za redovan rad</v>
      </c>
      <c r="G18" s="129" t="s">
        <v>145</v>
      </c>
      <c r="H18" s="91" t="str">
        <f t="shared" si="3"/>
        <v>REDOVNA DJELATNOST SVEUČILIŠTA U ZAGREBU (IZ EVIDENCIJSKIH PRIHODA)</v>
      </c>
      <c r="I18" s="91" t="str">
        <f t="shared" si="4"/>
        <v>0942</v>
      </c>
      <c r="J18" s="128">
        <v>227747</v>
      </c>
      <c r="K18" s="128">
        <v>232302</v>
      </c>
      <c r="L18" s="128">
        <v>236948</v>
      </c>
      <c r="M18" s="95"/>
      <c r="O18" s="86" t="str">
        <f t="shared" si="5"/>
        <v>311</v>
      </c>
      <c r="P18" s="86" t="str">
        <f t="shared" si="6"/>
        <v>31</v>
      </c>
      <c r="Q18" s="86" t="str">
        <f t="shared" si="7"/>
        <v>31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31</v>
      </c>
      <c r="D19" s="91" t="str">
        <f t="shared" si="1"/>
        <v>Vlastiti prihodi</v>
      </c>
      <c r="E19" s="96">
        <v>3121</v>
      </c>
      <c r="F19" s="91" t="str">
        <f t="shared" si="2"/>
        <v>Ostali rashodi za zaposlene</v>
      </c>
      <c r="G19" s="129" t="s">
        <v>145</v>
      </c>
      <c r="H19" s="91" t="str">
        <f t="shared" si="3"/>
        <v>REDOVNA DJELATNOST SVEUČILIŠTA U ZAGREBU (IZ EVIDENCIJSKIH PRIHODA)</v>
      </c>
      <c r="I19" s="91" t="str">
        <f t="shared" si="4"/>
        <v>0942</v>
      </c>
      <c r="J19" s="128">
        <v>45356</v>
      </c>
      <c r="K19" s="128">
        <v>46217</v>
      </c>
      <c r="L19" s="128">
        <v>47142</v>
      </c>
      <c r="M19" s="95"/>
      <c r="O19" s="86" t="str">
        <f t="shared" si="5"/>
        <v>312</v>
      </c>
      <c r="P19" s="86" t="str">
        <f t="shared" si="6"/>
        <v>31</v>
      </c>
      <c r="Q19" s="86" t="str">
        <f t="shared" si="7"/>
        <v>31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31</v>
      </c>
      <c r="D20" s="91" t="str">
        <f t="shared" si="1"/>
        <v>Vlastiti prihodi</v>
      </c>
      <c r="E20" s="96">
        <v>3132</v>
      </c>
      <c r="F20" s="91" t="str">
        <f t="shared" si="2"/>
        <v>Doprinosi za obvezno zdravstveno osiguranje</v>
      </c>
      <c r="G20" s="129" t="s">
        <v>145</v>
      </c>
      <c r="H20" s="91" t="str">
        <f t="shared" si="3"/>
        <v>REDOVNA DJELATNOST SVEUČILIŠTA U ZAGREBU (IZ EVIDENCIJSKIH PRIHODA)</v>
      </c>
      <c r="I20" s="91" t="str">
        <f t="shared" si="4"/>
        <v>0942</v>
      </c>
      <c r="J20" s="128">
        <v>36717</v>
      </c>
      <c r="K20" s="128">
        <v>37451</v>
      </c>
      <c r="L20" s="128">
        <v>38200</v>
      </c>
      <c r="M20" s="95"/>
      <c r="O20" s="86" t="str">
        <f t="shared" si="5"/>
        <v>313</v>
      </c>
      <c r="P20" s="86" t="str">
        <f t="shared" si="6"/>
        <v>31</v>
      </c>
      <c r="Q20" s="86" t="str">
        <f t="shared" si="7"/>
        <v>31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31</v>
      </c>
      <c r="D21" s="91" t="str">
        <f t="shared" si="1"/>
        <v>Vlastiti prihodi</v>
      </c>
      <c r="E21" s="96">
        <v>3211</v>
      </c>
      <c r="F21" s="91" t="str">
        <f t="shared" si="2"/>
        <v>Službena putovanja</v>
      </c>
      <c r="G21" s="129" t="s">
        <v>145</v>
      </c>
      <c r="H21" s="91" t="str">
        <f t="shared" si="3"/>
        <v>REDOVNA DJELATNOST SVEUČILIŠTA U ZAGREBU (IZ EVIDENCIJSKIH PRIHODA)</v>
      </c>
      <c r="I21" s="91" t="str">
        <f t="shared" si="4"/>
        <v>0942</v>
      </c>
      <c r="J21" s="128">
        <v>146733</v>
      </c>
      <c r="K21" s="128">
        <v>149668</v>
      </c>
      <c r="L21" s="128">
        <v>152661</v>
      </c>
      <c r="M21" s="95"/>
      <c r="O21" s="86" t="str">
        <f t="shared" si="5"/>
        <v>321</v>
      </c>
      <c r="P21" s="86" t="str">
        <f t="shared" si="6"/>
        <v>32</v>
      </c>
      <c r="Q21" s="86" t="str">
        <f t="shared" si="7"/>
        <v>31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31</v>
      </c>
      <c r="D22" s="91" t="str">
        <f t="shared" si="1"/>
        <v>Vlastiti prihodi</v>
      </c>
      <c r="E22" s="96">
        <v>3212</v>
      </c>
      <c r="F22" s="91" t="str">
        <f t="shared" si="2"/>
        <v>Naknade za prijevoz, za rad na terenu i odvojeni život</v>
      </c>
      <c r="G22" s="129" t="s">
        <v>145</v>
      </c>
      <c r="H22" s="91" t="str">
        <f t="shared" si="3"/>
        <v>REDOVNA DJELATNOST SVEUČILIŠTA U ZAGREBU (IZ EVIDENCIJSKIH PRIHODA)</v>
      </c>
      <c r="I22" s="91" t="str">
        <f t="shared" si="4"/>
        <v>0942</v>
      </c>
      <c r="J22" s="128">
        <v>3002</v>
      </c>
      <c r="K22" s="128">
        <v>3062</v>
      </c>
      <c r="L22" s="128">
        <v>3123</v>
      </c>
      <c r="M22" s="95"/>
      <c r="O22" s="86" t="str">
        <f t="shared" si="5"/>
        <v>321</v>
      </c>
      <c r="P22" s="86" t="str">
        <f t="shared" si="6"/>
        <v>32</v>
      </c>
      <c r="Q22" s="86" t="str">
        <f t="shared" si="7"/>
        <v>31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31</v>
      </c>
      <c r="D23" s="91" t="str">
        <f t="shared" si="1"/>
        <v>Vlastiti prihodi</v>
      </c>
      <c r="E23" s="96">
        <v>3213</v>
      </c>
      <c r="F23" s="91" t="str">
        <f t="shared" si="2"/>
        <v>Stručno usavršavanje zaposlenika</v>
      </c>
      <c r="G23" s="129" t="s">
        <v>145</v>
      </c>
      <c r="H23" s="91" t="str">
        <f t="shared" si="3"/>
        <v>REDOVNA DJELATNOST SVEUČILIŠTA U ZAGREBU (IZ EVIDENCIJSKIH PRIHODA)</v>
      </c>
      <c r="I23" s="91" t="str">
        <f t="shared" si="4"/>
        <v>0942</v>
      </c>
      <c r="J23" s="128">
        <v>9236</v>
      </c>
      <c r="K23" s="128">
        <v>9420</v>
      </c>
      <c r="L23" s="128">
        <v>9609</v>
      </c>
      <c r="M23" s="95"/>
      <c r="O23" s="86" t="str">
        <f t="shared" si="5"/>
        <v>321</v>
      </c>
      <c r="P23" s="86" t="str">
        <f t="shared" si="6"/>
        <v>32</v>
      </c>
      <c r="Q23" s="86" t="str">
        <f t="shared" si="7"/>
        <v>31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31</v>
      </c>
      <c r="D24" s="91" t="str">
        <f t="shared" si="1"/>
        <v>Vlastiti prihodi</v>
      </c>
      <c r="E24" s="96">
        <v>3214</v>
      </c>
      <c r="F24" s="91" t="str">
        <f t="shared" si="2"/>
        <v>Ostale naknade troškova zaposlenima</v>
      </c>
      <c r="G24" s="129" t="s">
        <v>145</v>
      </c>
      <c r="H24" s="91" t="str">
        <f t="shared" si="3"/>
        <v>REDOVNA DJELATNOST SVEUČILIŠTA U ZAGREBU (IZ EVIDENCIJSKIH PRIHODA)</v>
      </c>
      <c r="I24" s="91" t="str">
        <f t="shared" si="4"/>
        <v>0942</v>
      </c>
      <c r="J24" s="128">
        <v>1560</v>
      </c>
      <c r="K24" s="128">
        <v>1591</v>
      </c>
      <c r="L24" s="128">
        <v>1623</v>
      </c>
      <c r="M24" s="95"/>
      <c r="O24" s="86" t="str">
        <f t="shared" si="5"/>
        <v>321</v>
      </c>
      <c r="P24" s="86" t="str">
        <f t="shared" si="6"/>
        <v>32</v>
      </c>
      <c r="Q24" s="86" t="str">
        <f t="shared" si="7"/>
        <v>31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31</v>
      </c>
      <c r="D25" s="91" t="str">
        <f t="shared" si="1"/>
        <v>Vlastiti prihodi</v>
      </c>
      <c r="E25" s="96">
        <v>3221</v>
      </c>
      <c r="F25" s="91" t="str">
        <f t="shared" si="2"/>
        <v>Uredski materijal i ostali materijalni rashodi</v>
      </c>
      <c r="G25" s="129" t="s">
        <v>145</v>
      </c>
      <c r="H25" s="91" t="str">
        <f t="shared" si="3"/>
        <v>REDOVNA DJELATNOST SVEUČILIŠTA U ZAGREBU (IZ EVIDENCIJSKIH PRIHODA)</v>
      </c>
      <c r="I25" s="91" t="str">
        <f t="shared" si="4"/>
        <v>0942</v>
      </c>
      <c r="J25" s="128">
        <v>48321</v>
      </c>
      <c r="K25" s="128">
        <v>49287</v>
      </c>
      <c r="L25" s="128">
        <v>49368</v>
      </c>
      <c r="M25" s="95"/>
      <c r="O25" s="86" t="str">
        <f t="shared" si="5"/>
        <v>322</v>
      </c>
      <c r="P25" s="86" t="str">
        <f t="shared" si="6"/>
        <v>32</v>
      </c>
      <c r="Q25" s="86" t="str">
        <f t="shared" si="7"/>
        <v>31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31</v>
      </c>
      <c r="D26" s="91" t="str">
        <f t="shared" si="1"/>
        <v>Vlastiti prihodi</v>
      </c>
      <c r="E26" s="96">
        <v>3223</v>
      </c>
      <c r="F26" s="91" t="str">
        <f t="shared" si="2"/>
        <v>Energija</v>
      </c>
      <c r="G26" s="129" t="s">
        <v>145</v>
      </c>
      <c r="H26" s="91" t="str">
        <f t="shared" si="3"/>
        <v>REDOVNA DJELATNOST SVEUČILIŠTA U ZAGREBU (IZ EVIDENCIJSKIH PRIHODA)</v>
      </c>
      <c r="I26" s="91" t="str">
        <f t="shared" si="4"/>
        <v>0942</v>
      </c>
      <c r="J26" s="128">
        <v>159043</v>
      </c>
      <c r="K26" s="128">
        <v>162223</v>
      </c>
      <c r="L26" s="128">
        <v>165468</v>
      </c>
      <c r="M26" s="95"/>
      <c r="O26" s="86" t="str">
        <f t="shared" si="5"/>
        <v>322</v>
      </c>
      <c r="P26" s="86" t="str">
        <f t="shared" si="6"/>
        <v>32</v>
      </c>
      <c r="Q26" s="86" t="str">
        <f t="shared" si="7"/>
        <v>31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31</v>
      </c>
      <c r="D27" s="91" t="str">
        <f t="shared" si="1"/>
        <v>Vlastiti prihodi</v>
      </c>
      <c r="E27" s="96">
        <v>3224</v>
      </c>
      <c r="F27" s="91" t="str">
        <f t="shared" si="2"/>
        <v>Materijal i dijelovi za tekuće i investicijsko održavanje</v>
      </c>
      <c r="G27" s="129" t="s">
        <v>145</v>
      </c>
      <c r="H27" s="91" t="str">
        <f t="shared" si="3"/>
        <v>REDOVNA DJELATNOST SVEUČILIŠTA U ZAGREBU (IZ EVIDENCIJSKIH PRIHODA)</v>
      </c>
      <c r="I27" s="91" t="str">
        <f t="shared" si="4"/>
        <v>0942</v>
      </c>
      <c r="J27" s="128">
        <v>46612</v>
      </c>
      <c r="K27" s="128">
        <v>43201</v>
      </c>
      <c r="L27" s="128">
        <v>40123</v>
      </c>
      <c r="M27" s="95"/>
      <c r="O27" s="86" t="str">
        <f t="shared" si="5"/>
        <v>322</v>
      </c>
      <c r="P27" s="86" t="str">
        <f t="shared" si="6"/>
        <v>32</v>
      </c>
      <c r="Q27" s="86" t="str">
        <f t="shared" si="7"/>
        <v>31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31</v>
      </c>
      <c r="D28" s="91" t="str">
        <f t="shared" si="1"/>
        <v>Vlastiti prihodi</v>
      </c>
      <c r="E28" s="96">
        <v>3227</v>
      </c>
      <c r="F28" s="91" t="str">
        <f t="shared" si="2"/>
        <v>Službena, radna i zaštitna odjeća i obuća</v>
      </c>
      <c r="G28" s="129" t="s">
        <v>145</v>
      </c>
      <c r="H28" s="91" t="str">
        <f t="shared" si="3"/>
        <v>REDOVNA DJELATNOST SVEUČILIŠTA U ZAGREBU (IZ EVIDENCIJSKIH PRIHODA)</v>
      </c>
      <c r="I28" s="91" t="str">
        <f t="shared" si="4"/>
        <v>0942</v>
      </c>
      <c r="J28" s="128">
        <v>10251</v>
      </c>
      <c r="K28" s="128">
        <v>8521</v>
      </c>
      <c r="L28" s="128">
        <v>8564</v>
      </c>
      <c r="M28" s="95"/>
      <c r="O28" s="86" t="str">
        <f t="shared" si="5"/>
        <v>322</v>
      </c>
      <c r="P28" s="86" t="str">
        <f t="shared" si="6"/>
        <v>32</v>
      </c>
      <c r="Q28" s="86" t="str">
        <f t="shared" si="7"/>
        <v>31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31</v>
      </c>
      <c r="D29" s="91" t="str">
        <f t="shared" si="1"/>
        <v>Vlastiti prihodi</v>
      </c>
      <c r="E29" s="96">
        <v>3231</v>
      </c>
      <c r="F29" s="91" t="str">
        <f t="shared" si="2"/>
        <v>Usluge telefona, pošte i prijevoza</v>
      </c>
      <c r="G29" s="129" t="s">
        <v>145</v>
      </c>
      <c r="H29" s="91" t="str">
        <f t="shared" si="3"/>
        <v>REDOVNA DJELATNOST SVEUČILIŠTA U ZAGREBU (IZ EVIDENCIJSKIH PRIHODA)</v>
      </c>
      <c r="I29" s="91" t="str">
        <f t="shared" si="4"/>
        <v>0942</v>
      </c>
      <c r="J29" s="128">
        <v>39032</v>
      </c>
      <c r="K29" s="128">
        <v>39123</v>
      </c>
      <c r="L29" s="128">
        <v>39456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31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31</v>
      </c>
      <c r="D30" s="91" t="str">
        <f t="shared" si="1"/>
        <v>Vlastiti prihodi</v>
      </c>
      <c r="E30" s="96">
        <v>3232</v>
      </c>
      <c r="F30" s="91" t="str">
        <f t="shared" si="2"/>
        <v>Usluge tekućeg i investicijskog održavanja</v>
      </c>
      <c r="G30" s="129" t="s">
        <v>145</v>
      </c>
      <c r="H30" s="91" t="str">
        <f t="shared" si="3"/>
        <v>REDOVNA DJELATNOST SVEUČILIŠTA U ZAGREBU (IZ EVIDENCIJSKIH PRIHODA)</v>
      </c>
      <c r="I30" s="91" t="str">
        <f t="shared" si="4"/>
        <v>0942</v>
      </c>
      <c r="J30" s="128">
        <v>155773</v>
      </c>
      <c r="K30" s="128">
        <v>155828</v>
      </c>
      <c r="L30" s="128">
        <v>155987</v>
      </c>
      <c r="M30" s="95"/>
      <c r="O30" s="86" t="str">
        <f t="shared" si="5"/>
        <v>323</v>
      </c>
      <c r="P30" s="86" t="str">
        <f t="shared" si="6"/>
        <v>32</v>
      </c>
      <c r="Q30" s="86" t="str">
        <f t="shared" si="7"/>
        <v>31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31</v>
      </c>
      <c r="D31" s="91" t="str">
        <f t="shared" si="1"/>
        <v>Vlastiti prihodi</v>
      </c>
      <c r="E31" s="96">
        <v>3233</v>
      </c>
      <c r="F31" s="91" t="str">
        <f t="shared" si="2"/>
        <v>Usluge promidžbe i informiranja</v>
      </c>
      <c r="G31" s="129" t="s">
        <v>145</v>
      </c>
      <c r="H31" s="91" t="str">
        <f t="shared" si="3"/>
        <v>REDOVNA DJELATNOST SVEUČILIŠTA U ZAGREBU (IZ EVIDENCIJSKIH PRIHODA)</v>
      </c>
      <c r="I31" s="91" t="str">
        <f t="shared" si="4"/>
        <v>0942</v>
      </c>
      <c r="J31" s="128">
        <v>7543</v>
      </c>
      <c r="K31" s="128">
        <v>7510</v>
      </c>
      <c r="L31" s="128">
        <v>8201</v>
      </c>
      <c r="M31" s="95"/>
      <c r="O31" s="86" t="str">
        <f t="shared" si="5"/>
        <v>323</v>
      </c>
      <c r="P31" s="86" t="str">
        <f t="shared" si="6"/>
        <v>32</v>
      </c>
      <c r="Q31" s="86" t="str">
        <f t="shared" si="7"/>
        <v>31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3234</v>
      </c>
      <c r="F32" s="91" t="str">
        <f t="shared" si="2"/>
        <v>Komunalne usluge</v>
      </c>
      <c r="G32" s="129" t="s">
        <v>145</v>
      </c>
      <c r="H32" s="91" t="str">
        <f t="shared" si="3"/>
        <v>REDOVNA DJELATNOST SVEUČILIŠTA U ZAGREBU (IZ EVIDENCIJSKIH PRIHODA)</v>
      </c>
      <c r="I32" s="91" t="str">
        <f t="shared" si="4"/>
        <v>0942</v>
      </c>
      <c r="J32" s="128">
        <v>35816</v>
      </c>
      <c r="K32" s="128">
        <v>36210</v>
      </c>
      <c r="L32" s="128">
        <v>36210</v>
      </c>
      <c r="M32" s="95"/>
      <c r="O32" s="86" t="str">
        <f t="shared" si="5"/>
        <v>323</v>
      </c>
      <c r="P32" s="86" t="str">
        <f t="shared" si="6"/>
        <v>32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3235</v>
      </c>
      <c r="F33" s="91" t="str">
        <f t="shared" si="2"/>
        <v>Zakupnine i najamnine</v>
      </c>
      <c r="G33" s="129" t="s">
        <v>145</v>
      </c>
      <c r="H33" s="91" t="str">
        <f t="shared" si="3"/>
        <v>REDOVNA DJELATNOST SVEUČILIŠTA U ZAGREBU (IZ EVIDENCIJSKIH PRIHODA)</v>
      </c>
      <c r="I33" s="91" t="str">
        <f t="shared" si="4"/>
        <v>0942</v>
      </c>
      <c r="J33" s="128">
        <v>17435</v>
      </c>
      <c r="K33" s="128">
        <v>17684</v>
      </c>
      <c r="L33" s="128">
        <v>17853</v>
      </c>
      <c r="M33" s="95"/>
      <c r="O33" s="86" t="str">
        <f t="shared" si="5"/>
        <v>323</v>
      </c>
      <c r="P33" s="86" t="str">
        <f t="shared" si="6"/>
        <v>32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3236</v>
      </c>
      <c r="F34" s="91" t="str">
        <f t="shared" si="2"/>
        <v>Zdravstvene i veterinarske usluge</v>
      </c>
      <c r="G34" s="129" t="s">
        <v>145</v>
      </c>
      <c r="H34" s="91" t="str">
        <f t="shared" si="3"/>
        <v>REDOVNA DJELATNOST SVEUČILIŠTA U ZAGREBU (IZ EVIDENCIJSKIH PRIHODA)</v>
      </c>
      <c r="I34" s="91" t="str">
        <f t="shared" si="4"/>
        <v>0942</v>
      </c>
      <c r="J34" s="128">
        <v>28581</v>
      </c>
      <c r="K34" s="128">
        <v>21532</v>
      </c>
      <c r="L34" s="128">
        <v>22536</v>
      </c>
      <c r="M34" s="95"/>
      <c r="O34" s="86" t="str">
        <f t="shared" si="5"/>
        <v>323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3237</v>
      </c>
      <c r="F35" s="91" t="str">
        <f t="shared" si="2"/>
        <v>Intelektualne i osobne usluge</v>
      </c>
      <c r="G35" s="129" t="s">
        <v>145</v>
      </c>
      <c r="H35" s="91" t="str">
        <f t="shared" si="3"/>
        <v>REDOVNA DJELATNOST SVEUČILIŠTA U ZAGREBU (IZ EVIDENCIJSKIH PRIHODA)</v>
      </c>
      <c r="I35" s="91" t="str">
        <f t="shared" si="4"/>
        <v>0942</v>
      </c>
      <c r="J35" s="128">
        <v>279452</v>
      </c>
      <c r="K35" s="128">
        <v>285041</v>
      </c>
      <c r="L35" s="128">
        <v>290472</v>
      </c>
      <c r="M35" s="95"/>
      <c r="O35" s="86" t="str">
        <f t="shared" si="5"/>
        <v>323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3238</v>
      </c>
      <c r="F36" s="91" t="str">
        <f t="shared" si="2"/>
        <v>Računalne usluge</v>
      </c>
      <c r="G36" s="129" t="s">
        <v>145</v>
      </c>
      <c r="H36" s="91" t="str">
        <f t="shared" si="3"/>
        <v>REDOVNA DJELATNOST SVEUČILIŠTA U ZAGREBU (IZ EVIDENCIJSKIH PRIHODA)</v>
      </c>
      <c r="I36" s="91" t="str">
        <f t="shared" si="4"/>
        <v>0942</v>
      </c>
      <c r="J36" s="128">
        <v>26544</v>
      </c>
      <c r="K36" s="128">
        <v>26845</v>
      </c>
      <c r="L36" s="128">
        <v>26845</v>
      </c>
      <c r="M36" s="95"/>
      <c r="O36" s="86" t="str">
        <f t="shared" si="5"/>
        <v>323</v>
      </c>
      <c r="P36" s="86" t="str">
        <f t="shared" si="6"/>
        <v>32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3239</v>
      </c>
      <c r="F37" s="91" t="str">
        <f t="shared" si="2"/>
        <v>Ostale usluge</v>
      </c>
      <c r="G37" s="129" t="s">
        <v>145</v>
      </c>
      <c r="H37" s="91" t="str">
        <f t="shared" si="3"/>
        <v>REDOVNA DJELATNOST SVEUČILIŠTA U ZAGREBU (IZ EVIDENCIJSKIH PRIHODA)</v>
      </c>
      <c r="I37" s="91" t="str">
        <f t="shared" si="4"/>
        <v>0942</v>
      </c>
      <c r="J37" s="128">
        <v>245575</v>
      </c>
      <c r="K37" s="128">
        <v>248447</v>
      </c>
      <c r="L37" s="128">
        <v>253416</v>
      </c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3292</v>
      </c>
      <c r="F38" s="91" t="str">
        <f t="shared" si="2"/>
        <v>Premije osiguranja</v>
      </c>
      <c r="G38" s="129" t="s">
        <v>145</v>
      </c>
      <c r="H38" s="91" t="str">
        <f t="shared" si="3"/>
        <v>REDOVNA DJELATNOST SVEUČILIŠTA U ZAGREBU (IZ EVIDENCIJSKIH PRIHODA)</v>
      </c>
      <c r="I38" s="91" t="str">
        <f t="shared" si="4"/>
        <v>0942</v>
      </c>
      <c r="J38" s="128">
        <v>30194</v>
      </c>
      <c r="K38" s="128">
        <v>30268</v>
      </c>
      <c r="L38" s="128">
        <v>30666</v>
      </c>
      <c r="M38" s="95"/>
      <c r="O38" s="86" t="str">
        <f t="shared" si="5"/>
        <v>329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3293</v>
      </c>
      <c r="F39" s="91" t="str">
        <f t="shared" si="2"/>
        <v>Reprezentacija</v>
      </c>
      <c r="G39" s="129" t="s">
        <v>145</v>
      </c>
      <c r="H39" s="91" t="str">
        <f t="shared" si="3"/>
        <v>REDOVNA DJELATNOST SVEUČILIŠTA U ZAGREBU (IZ EVIDENCIJSKIH PRIHODA)</v>
      </c>
      <c r="I39" s="91" t="str">
        <f t="shared" si="4"/>
        <v>0942</v>
      </c>
      <c r="J39" s="128">
        <v>13674</v>
      </c>
      <c r="K39" s="128">
        <v>13948</v>
      </c>
      <c r="L39" s="128">
        <v>14227</v>
      </c>
      <c r="M39" s="95"/>
      <c r="O39" s="86" t="str">
        <f t="shared" si="5"/>
        <v>329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3294</v>
      </c>
      <c r="F40" s="91" t="str">
        <f t="shared" si="2"/>
        <v>Članarine i norme</v>
      </c>
      <c r="G40" s="129" t="s">
        <v>145</v>
      </c>
      <c r="H40" s="91" t="str">
        <f t="shared" si="3"/>
        <v>REDOVNA DJELATNOST SVEUČILIŠTA U ZAGREBU (IZ EVIDENCIJSKIH PRIHODA)</v>
      </c>
      <c r="I40" s="91" t="str">
        <f t="shared" si="4"/>
        <v>0942</v>
      </c>
      <c r="J40" s="128">
        <v>10450</v>
      </c>
      <c r="K40" s="128">
        <v>10210</v>
      </c>
      <c r="L40" s="128">
        <v>10544</v>
      </c>
      <c r="M40" s="95"/>
      <c r="O40" s="86" t="str">
        <f t="shared" si="5"/>
        <v>329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3296</v>
      </c>
      <c r="F41" s="91" t="str">
        <f t="shared" si="2"/>
        <v>Troškovi sudskih postupaka</v>
      </c>
      <c r="G41" s="129" t="s">
        <v>145</v>
      </c>
      <c r="H41" s="91" t="str">
        <f t="shared" si="3"/>
        <v>REDOVNA DJELATNOST SVEUČILIŠTA U ZAGREBU (IZ EVIDENCIJSKIH PRIHODA)</v>
      </c>
      <c r="I41" s="91" t="str">
        <f t="shared" si="4"/>
        <v>0942</v>
      </c>
      <c r="J41" s="128">
        <v>2651</v>
      </c>
      <c r="K41" s="128">
        <v>2658</v>
      </c>
      <c r="L41" s="128">
        <v>2678</v>
      </c>
      <c r="M41" s="95"/>
      <c r="O41" s="86" t="str">
        <f t="shared" si="5"/>
        <v>329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3431</v>
      </c>
      <c r="F42" s="91" t="str">
        <f t="shared" si="2"/>
        <v>Bankarske usluge i usluge platnog prometa</v>
      </c>
      <c r="G42" s="129" t="s">
        <v>145</v>
      </c>
      <c r="H42" s="91" t="str">
        <f t="shared" si="3"/>
        <v>REDOVNA DJELATNOST SVEUČILIŠTA U ZAGREBU (IZ EVIDENCIJSKIH PRIHODA)</v>
      </c>
      <c r="I42" s="91" t="str">
        <f t="shared" si="4"/>
        <v>0942</v>
      </c>
      <c r="J42" s="128">
        <v>6351</v>
      </c>
      <c r="K42" s="128">
        <v>6589</v>
      </c>
      <c r="L42" s="128">
        <v>6321</v>
      </c>
      <c r="M42" s="95"/>
      <c r="O42" s="86" t="str">
        <f t="shared" si="5"/>
        <v>343</v>
      </c>
      <c r="P42" s="86" t="str">
        <f t="shared" si="6"/>
        <v>34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4123</v>
      </c>
      <c r="F43" s="91" t="str">
        <f t="shared" si="2"/>
        <v>Licence</v>
      </c>
      <c r="G43" s="129" t="s">
        <v>145</v>
      </c>
      <c r="H43" s="91" t="str">
        <f t="shared" si="3"/>
        <v>REDOVNA DJELATNOST SVEUČILIŠTA U ZAGREBU (IZ EVIDENCIJSKIH PRIHODA)</v>
      </c>
      <c r="I43" s="91" t="str">
        <f t="shared" si="4"/>
        <v>0942</v>
      </c>
      <c r="J43" s="128">
        <v>4658</v>
      </c>
      <c r="K43" s="128">
        <v>4321</v>
      </c>
      <c r="L43" s="128">
        <v>4654</v>
      </c>
      <c r="M43" s="95"/>
      <c r="O43" s="86" t="str">
        <f t="shared" si="5"/>
        <v>412</v>
      </c>
      <c r="P43" s="86" t="str">
        <f t="shared" si="6"/>
        <v>41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4221</v>
      </c>
      <c r="F44" s="91" t="str">
        <f t="shared" si="2"/>
        <v>Uredska oprema i namještaj</v>
      </c>
      <c r="G44" s="129" t="s">
        <v>145</v>
      </c>
      <c r="H44" s="91" t="str">
        <f t="shared" si="3"/>
        <v>REDOVNA DJELATNOST SVEUČILIŠTA U ZAGREBU (IZ EVIDENCIJSKIH PRIHODA)</v>
      </c>
      <c r="I44" s="91" t="str">
        <f t="shared" si="4"/>
        <v>0942</v>
      </c>
      <c r="J44" s="128">
        <v>74324</v>
      </c>
      <c r="K44" s="128">
        <v>75325</v>
      </c>
      <c r="L44" s="128">
        <v>70328</v>
      </c>
      <c r="M44" s="95"/>
      <c r="O44" s="86" t="str">
        <f t="shared" si="5"/>
        <v>422</v>
      </c>
      <c r="P44" s="86" t="str">
        <f t="shared" si="6"/>
        <v>42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4222</v>
      </c>
      <c r="F45" s="91" t="str">
        <f t="shared" si="2"/>
        <v>Komunikacijska oprema</v>
      </c>
      <c r="G45" s="129" t="s">
        <v>145</v>
      </c>
      <c r="H45" s="91" t="str">
        <f t="shared" si="3"/>
        <v>REDOVNA DJELATNOST SVEUČILIŠTA U ZAGREBU (IZ EVIDENCIJSKIH PRIHODA)</v>
      </c>
      <c r="I45" s="91" t="str">
        <f t="shared" si="4"/>
        <v>0942</v>
      </c>
      <c r="J45" s="128">
        <v>9564</v>
      </c>
      <c r="K45" s="128">
        <v>9210</v>
      </c>
      <c r="L45" s="128">
        <v>9012</v>
      </c>
      <c r="M45" s="95"/>
      <c r="O45" s="86" t="str">
        <f t="shared" si="5"/>
        <v>422</v>
      </c>
      <c r="P45" s="86" t="str">
        <f t="shared" si="6"/>
        <v>42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4223</v>
      </c>
      <c r="F46" s="91" t="str">
        <f t="shared" si="2"/>
        <v>Oprema za održavanje i zaštitu</v>
      </c>
      <c r="G46" s="129" t="s">
        <v>145</v>
      </c>
      <c r="H46" s="91" t="str">
        <f t="shared" si="3"/>
        <v>REDOVNA DJELATNOST SVEUČILIŠTA U ZAGREBU (IZ EVIDENCIJSKIH PRIHODA)</v>
      </c>
      <c r="I46" s="91" t="str">
        <f t="shared" si="4"/>
        <v>0942</v>
      </c>
      <c r="J46" s="128">
        <v>15688</v>
      </c>
      <c r="K46" s="128">
        <v>15478</v>
      </c>
      <c r="L46" s="128">
        <v>15886</v>
      </c>
      <c r="M46" s="95"/>
      <c r="O46" s="86" t="str">
        <f t="shared" si="5"/>
        <v>422</v>
      </c>
      <c r="P46" s="86" t="str">
        <f t="shared" si="6"/>
        <v>42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4224</v>
      </c>
      <c r="F47" s="91" t="str">
        <f t="shared" si="2"/>
        <v>Medicinska i laboratorijska oprema</v>
      </c>
      <c r="G47" s="129" t="s">
        <v>145</v>
      </c>
      <c r="H47" s="91" t="str">
        <f t="shared" si="3"/>
        <v>REDOVNA DJELATNOST SVEUČILIŠTA U ZAGREBU (IZ EVIDENCIJSKIH PRIHODA)</v>
      </c>
      <c r="I47" s="91" t="str">
        <f t="shared" si="4"/>
        <v>0942</v>
      </c>
      <c r="J47" s="128">
        <v>9254</v>
      </c>
      <c r="K47" s="128">
        <v>9544</v>
      </c>
      <c r="L47" s="128">
        <v>9213</v>
      </c>
      <c r="M47" s="95"/>
      <c r="O47" s="86" t="str">
        <f t="shared" si="5"/>
        <v>422</v>
      </c>
      <c r="P47" s="86" t="str">
        <f t="shared" si="6"/>
        <v>42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4225</v>
      </c>
      <c r="F48" s="91" t="str">
        <f t="shared" si="2"/>
        <v>Instrumenti, uređaji i strojevi</v>
      </c>
      <c r="G48" s="129" t="s">
        <v>145</v>
      </c>
      <c r="H48" s="91" t="str">
        <f t="shared" si="3"/>
        <v>REDOVNA DJELATNOST SVEUČILIŠTA U ZAGREBU (IZ EVIDENCIJSKIH PRIHODA)</v>
      </c>
      <c r="I48" s="91" t="str">
        <f t="shared" si="4"/>
        <v>0942</v>
      </c>
      <c r="J48" s="128">
        <v>10354</v>
      </c>
      <c r="K48" s="128">
        <v>9541</v>
      </c>
      <c r="L48" s="128">
        <v>9456</v>
      </c>
      <c r="M48" s="95"/>
      <c r="O48" s="86" t="str">
        <f t="shared" si="5"/>
        <v>422</v>
      </c>
      <c r="P48" s="86" t="str">
        <f t="shared" si="6"/>
        <v>42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4227</v>
      </c>
      <c r="F49" s="91" t="str">
        <f t="shared" si="2"/>
        <v>Uređaji, strojevi i oprema za ostale namjene</v>
      </c>
      <c r="G49" s="129" t="s">
        <v>145</v>
      </c>
      <c r="H49" s="91" t="str">
        <f t="shared" si="3"/>
        <v>REDOVNA DJELATNOST SVEUČILIŠTA U ZAGREBU (IZ EVIDENCIJSKIH PRIHODA)</v>
      </c>
      <c r="I49" s="91" t="str">
        <f t="shared" si="4"/>
        <v>0942</v>
      </c>
      <c r="J49" s="128">
        <v>68325</v>
      </c>
      <c r="K49" s="128">
        <v>69719</v>
      </c>
      <c r="L49" s="128">
        <v>71113</v>
      </c>
      <c r="M49" s="95"/>
      <c r="O49" s="86" t="str">
        <f t="shared" si="5"/>
        <v>422</v>
      </c>
      <c r="P49" s="86" t="str">
        <f t="shared" si="6"/>
        <v>42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4241</v>
      </c>
      <c r="F50" s="91" t="str">
        <f t="shared" si="2"/>
        <v>Knjige</v>
      </c>
      <c r="G50" s="129" t="s">
        <v>145</v>
      </c>
      <c r="H50" s="91" t="str">
        <f t="shared" si="3"/>
        <v>REDOVNA DJELATNOST SVEUČILIŠTA U ZAGREBU (IZ EVIDENCIJSKIH PRIHODA)</v>
      </c>
      <c r="I50" s="91" t="str">
        <f t="shared" si="4"/>
        <v>0942</v>
      </c>
      <c r="J50" s="128">
        <v>1800</v>
      </c>
      <c r="K50" s="128">
        <v>2000</v>
      </c>
      <c r="L50" s="128">
        <v>2000</v>
      </c>
      <c r="M50" s="95"/>
      <c r="O50" s="86" t="str">
        <f t="shared" si="5"/>
        <v>424</v>
      </c>
      <c r="P50" s="86" t="str">
        <f t="shared" si="6"/>
        <v>42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/>
      </c>
      <c r="B51" s="90" t="str">
        <f>IF(C51="","",VLOOKUP('OPĆI DIO'!$C$3,'OPĆI DIO'!$L$6:$U$138,9,FALSE))</f>
        <v/>
      </c>
      <c r="C51" s="96"/>
      <c r="D51" s="91" t="str">
        <f t="shared" si="1"/>
        <v/>
      </c>
      <c r="E51" s="96"/>
      <c r="F51" s="91" t="str">
        <f t="shared" si="2"/>
        <v/>
      </c>
      <c r="G51" s="129"/>
      <c r="H51" s="91" t="str">
        <f t="shared" si="3"/>
        <v/>
      </c>
      <c r="I51" s="91" t="str">
        <f t="shared" si="4"/>
        <v/>
      </c>
      <c r="J51" s="128"/>
      <c r="K51" s="128"/>
      <c r="L51" s="128"/>
      <c r="M51" s="95"/>
      <c r="O51" s="86" t="str">
        <f t="shared" si="5"/>
        <v/>
      </c>
      <c r="P51" s="86" t="str">
        <f t="shared" si="6"/>
        <v/>
      </c>
      <c r="Q51" s="86" t="str">
        <f t="shared" si="7"/>
        <v/>
      </c>
      <c r="R51" s="86" t="str">
        <f t="shared" si="8"/>
        <v/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61</v>
      </c>
      <c r="D52" s="91" t="str">
        <f t="shared" si="1"/>
        <v>Donacije</v>
      </c>
      <c r="E52" s="96">
        <v>3232</v>
      </c>
      <c r="F52" s="91" t="str">
        <f t="shared" si="2"/>
        <v>Usluge tekućeg i investicijskog održavanja</v>
      </c>
      <c r="G52" s="129" t="s">
        <v>145</v>
      </c>
      <c r="H52" s="91" t="str">
        <f t="shared" si="3"/>
        <v>REDOVNA DJELATNOST SVEUČILIŠTA U ZAGREBU (IZ EVIDENCIJSKIH PRIHODA)</v>
      </c>
      <c r="I52" s="91" t="str">
        <f t="shared" si="4"/>
        <v>0942</v>
      </c>
      <c r="J52" s="128">
        <v>10000</v>
      </c>
      <c r="K52" s="128">
        <v>10000</v>
      </c>
      <c r="L52" s="128">
        <v>10000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61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/>
      </c>
      <c r="B53" s="90" t="str">
        <f>IF(C53="","",VLOOKUP('OPĆI DIO'!$C$3,'OPĆI DIO'!$L$6:$U$138,9,FALSE))</f>
        <v/>
      </c>
      <c r="C53" s="96"/>
      <c r="D53" s="91" t="str">
        <f t="shared" si="1"/>
        <v/>
      </c>
      <c r="E53" s="96"/>
      <c r="F53" s="91" t="str">
        <f t="shared" si="2"/>
        <v/>
      </c>
      <c r="G53" s="129"/>
      <c r="H53" s="91" t="str">
        <f t="shared" si="3"/>
        <v/>
      </c>
      <c r="I53" s="91" t="str">
        <f t="shared" si="4"/>
        <v/>
      </c>
      <c r="J53" s="128"/>
      <c r="K53" s="128"/>
      <c r="L53" s="128"/>
      <c r="M53" s="95"/>
      <c r="O53" s="86" t="str">
        <f t="shared" si="5"/>
        <v/>
      </c>
      <c r="P53" s="86" t="str">
        <f t="shared" si="6"/>
        <v/>
      </c>
      <c r="Q53" s="86" t="str">
        <f t="shared" si="7"/>
        <v/>
      </c>
      <c r="R53" s="86" t="str">
        <f t="shared" si="8"/>
        <v/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71</v>
      </c>
      <c r="D54" s="91" t="str">
        <f t="shared" si="1"/>
        <v>Prihodi od nefin. imovine i nadoknade štete s osnova osig.</v>
      </c>
      <c r="E54" s="96">
        <v>4511</v>
      </c>
      <c r="F54" s="91" t="str">
        <f t="shared" si="2"/>
        <v>Dodatna ulaganja na građevinskim objektima</v>
      </c>
      <c r="G54" s="129" t="s">
        <v>145</v>
      </c>
      <c r="H54" s="91" t="str">
        <f t="shared" si="3"/>
        <v>REDOVNA DJELATNOST SVEUČILIŠTA U ZAGREBU (IZ EVIDENCIJSKIH PRIHODA)</v>
      </c>
      <c r="I54" s="91" t="str">
        <f t="shared" si="4"/>
        <v>0942</v>
      </c>
      <c r="J54" s="128">
        <v>238900</v>
      </c>
      <c r="K54" s="128">
        <v>200000</v>
      </c>
      <c r="L54" s="128">
        <v>150000</v>
      </c>
      <c r="M54" s="95"/>
      <c r="O54" s="86" t="str">
        <f t="shared" si="5"/>
        <v>451</v>
      </c>
      <c r="P54" s="86" t="str">
        <f t="shared" si="6"/>
        <v>45</v>
      </c>
      <c r="Q54" s="86" t="str">
        <f t="shared" si="7"/>
        <v>71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71</v>
      </c>
      <c r="D55" s="91" t="str">
        <f t="shared" si="1"/>
        <v>Prihodi od nefin. imovine i nadoknade štete s osnova osig.</v>
      </c>
      <c r="E55" s="96">
        <v>4252</v>
      </c>
      <c r="F55" s="91" t="str">
        <f t="shared" si="2"/>
        <v>Osnovno stado</v>
      </c>
      <c r="G55" s="129" t="s">
        <v>145</v>
      </c>
      <c r="H55" s="91" t="str">
        <f t="shared" si="3"/>
        <v>REDOVNA DJELATNOST SVEUČILIŠTA U ZAGREBU (IZ EVIDENCIJSKIH PRIHODA)</v>
      </c>
      <c r="I55" s="91" t="str">
        <f t="shared" si="4"/>
        <v>0942</v>
      </c>
      <c r="J55" s="128">
        <v>2650</v>
      </c>
      <c r="K55" s="128">
        <v>2700</v>
      </c>
      <c r="L55" s="128">
        <v>2800</v>
      </c>
      <c r="M55" s="95"/>
      <c r="O55" s="86" t="str">
        <f t="shared" si="5"/>
        <v>425</v>
      </c>
      <c r="P55" s="86" t="str">
        <f t="shared" si="6"/>
        <v>42</v>
      </c>
      <c r="Q55" s="86" t="str">
        <f t="shared" si="7"/>
        <v>71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71</v>
      </c>
      <c r="D56" s="91" t="str">
        <f t="shared" si="1"/>
        <v>Prihodi od nefin. imovine i nadoknade štete s osnova osig.</v>
      </c>
      <c r="E56" s="96">
        <v>4241</v>
      </c>
      <c r="F56" s="91" t="str">
        <f t="shared" si="2"/>
        <v>Knjige</v>
      </c>
      <c r="G56" s="129" t="s">
        <v>145</v>
      </c>
      <c r="H56" s="91" t="str">
        <f t="shared" si="3"/>
        <v>REDOVNA DJELATNOST SVEUČILIŠTA U ZAGREBU (IZ EVIDENCIJSKIH PRIHODA)</v>
      </c>
      <c r="I56" s="91" t="str">
        <f t="shared" si="4"/>
        <v>0942</v>
      </c>
      <c r="J56" s="128">
        <v>1328</v>
      </c>
      <c r="K56" s="128">
        <v>1328</v>
      </c>
      <c r="L56" s="128">
        <v>1328</v>
      </c>
      <c r="M56" s="95"/>
      <c r="O56" s="86" t="str">
        <f t="shared" si="5"/>
        <v>424</v>
      </c>
      <c r="P56" s="86" t="str">
        <f t="shared" si="6"/>
        <v>42</v>
      </c>
      <c r="Q56" s="86" t="str">
        <f t="shared" si="7"/>
        <v>71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/>
      </c>
      <c r="B57" s="90" t="str">
        <f>IF(C57="","",VLOOKUP('OPĆI DIO'!$C$3,'OPĆI DIO'!$L$6:$U$138,9,FALSE))</f>
        <v/>
      </c>
      <c r="C57" s="96"/>
      <c r="D57" s="91" t="str">
        <f t="shared" si="1"/>
        <v/>
      </c>
      <c r="E57" s="96"/>
      <c r="F57" s="91" t="str">
        <f t="shared" si="2"/>
        <v/>
      </c>
      <c r="G57" s="129"/>
      <c r="H57" s="91" t="str">
        <f t="shared" si="3"/>
        <v/>
      </c>
      <c r="I57" s="91" t="str">
        <f t="shared" si="4"/>
        <v/>
      </c>
      <c r="J57" s="128"/>
      <c r="K57" s="128"/>
      <c r="L57" s="128"/>
      <c r="M57" s="95"/>
      <c r="O57" s="86" t="str">
        <f t="shared" si="5"/>
        <v/>
      </c>
      <c r="P57" s="86" t="str">
        <f t="shared" si="6"/>
        <v/>
      </c>
      <c r="Q57" s="86" t="str">
        <f t="shared" si="7"/>
        <v/>
      </c>
      <c r="R57" s="86" t="str">
        <f t="shared" si="8"/>
        <v/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/>
      </c>
      <c r="B58" s="90" t="str">
        <f>IF(C58="","",VLOOKUP('OPĆI DIO'!$C$3,'OPĆI DIO'!$L$6:$U$138,9,FALSE))</f>
        <v/>
      </c>
      <c r="C58" s="96"/>
      <c r="D58" s="91" t="str">
        <f t="shared" si="1"/>
        <v/>
      </c>
      <c r="E58" s="96"/>
      <c r="F58" s="91" t="str">
        <f t="shared" si="2"/>
        <v/>
      </c>
      <c r="G58" s="129"/>
      <c r="H58" s="91" t="str">
        <f t="shared" si="3"/>
        <v/>
      </c>
      <c r="I58" s="91" t="str">
        <f t="shared" si="4"/>
        <v/>
      </c>
      <c r="J58" s="128"/>
      <c r="K58" s="128"/>
      <c r="L58" s="128"/>
      <c r="M58" s="95"/>
      <c r="O58" s="86" t="str">
        <f t="shared" si="5"/>
        <v/>
      </c>
      <c r="P58" s="86" t="str">
        <f t="shared" si="6"/>
        <v/>
      </c>
      <c r="Q58" s="86" t="str">
        <f t="shared" si="7"/>
        <v/>
      </c>
      <c r="R58" s="86" t="str">
        <f t="shared" si="8"/>
        <v/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/>
      </c>
      <c r="B59" s="90" t="str">
        <f>IF(C59="","",VLOOKUP('OPĆI DIO'!$C$3,'OPĆI DIO'!$L$6:$U$138,9,FALSE))</f>
        <v/>
      </c>
      <c r="C59" s="96"/>
      <c r="D59" s="91" t="str">
        <f t="shared" si="1"/>
        <v/>
      </c>
      <c r="E59" s="96"/>
      <c r="F59" s="91" t="str">
        <f t="shared" si="2"/>
        <v/>
      </c>
      <c r="G59" s="129"/>
      <c r="H59" s="91" t="str">
        <f t="shared" si="3"/>
        <v/>
      </c>
      <c r="I59" s="91" t="str">
        <f t="shared" si="4"/>
        <v/>
      </c>
      <c r="J59" s="128"/>
      <c r="K59" s="128"/>
      <c r="L59" s="128"/>
      <c r="M59" s="95"/>
      <c r="O59" s="86" t="str">
        <f t="shared" si="5"/>
        <v/>
      </c>
      <c r="P59" s="86" t="str">
        <f t="shared" si="6"/>
        <v/>
      </c>
      <c r="Q59" s="86" t="str">
        <f t="shared" si="7"/>
        <v/>
      </c>
      <c r="R59" s="86" t="str">
        <f t="shared" si="8"/>
        <v/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/>
      </c>
      <c r="B60" s="90" t="str">
        <f>IF(C60="","",VLOOKUP('OPĆI DIO'!$C$3,'OPĆI DIO'!$L$6:$U$138,9,FALSE))</f>
        <v/>
      </c>
      <c r="C60" s="96"/>
      <c r="D60" s="91" t="str">
        <f t="shared" si="1"/>
        <v/>
      </c>
      <c r="E60" s="96"/>
      <c r="F60" s="91" t="str">
        <f t="shared" si="2"/>
        <v/>
      </c>
      <c r="G60" s="129"/>
      <c r="H60" s="91" t="str">
        <f t="shared" si="3"/>
        <v/>
      </c>
      <c r="I60" s="91" t="str">
        <f t="shared" si="4"/>
        <v/>
      </c>
      <c r="J60" s="128"/>
      <c r="K60" s="128"/>
      <c r="L60" s="128"/>
      <c r="M60" s="95"/>
      <c r="O60" s="86" t="str">
        <f t="shared" si="5"/>
        <v/>
      </c>
      <c r="P60" s="86" t="str">
        <f t="shared" si="6"/>
        <v/>
      </c>
      <c r="Q60" s="86" t="str">
        <f t="shared" si="7"/>
        <v/>
      </c>
      <c r="R60" s="86" t="str">
        <f t="shared" si="8"/>
        <v/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/>
      </c>
      <c r="B61" s="90" t="str">
        <f>IF(C61="","",VLOOKUP('OPĆI DIO'!$C$3,'OPĆI DIO'!$L$6:$U$138,9,FALSE))</f>
        <v/>
      </c>
      <c r="C61" s="96"/>
      <c r="D61" s="91" t="str">
        <f t="shared" si="1"/>
        <v/>
      </c>
      <c r="E61" s="96"/>
      <c r="F61" s="91" t="str">
        <f t="shared" si="2"/>
        <v/>
      </c>
      <c r="G61" s="129"/>
      <c r="H61" s="91" t="str">
        <f t="shared" si="3"/>
        <v/>
      </c>
      <c r="I61" s="91" t="str">
        <f t="shared" si="4"/>
        <v/>
      </c>
      <c r="J61" s="128"/>
      <c r="K61" s="128"/>
      <c r="L61" s="128"/>
      <c r="M61" s="95"/>
      <c r="O61" s="86" t="str">
        <f t="shared" si="5"/>
        <v/>
      </c>
      <c r="P61" s="86" t="str">
        <f t="shared" si="6"/>
        <v/>
      </c>
      <c r="Q61" s="86" t="str">
        <f t="shared" si="7"/>
        <v/>
      </c>
      <c r="R61" s="86" t="str">
        <f t="shared" si="8"/>
        <v/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/>
      </c>
      <c r="B62" s="90" t="str">
        <f>IF(C62="","",VLOOKUP('OPĆI DIO'!$C$3,'OPĆI DIO'!$L$6:$U$138,9,FALSE))</f>
        <v/>
      </c>
      <c r="C62" s="96"/>
      <c r="D62" s="91" t="str">
        <f t="shared" si="1"/>
        <v/>
      </c>
      <c r="E62" s="96"/>
      <c r="F62" s="91" t="str">
        <f t="shared" si="2"/>
        <v/>
      </c>
      <c r="G62" s="129"/>
      <c r="H62" s="91" t="str">
        <f t="shared" si="3"/>
        <v/>
      </c>
      <c r="I62" s="91" t="str">
        <f t="shared" si="4"/>
        <v/>
      </c>
      <c r="J62" s="128"/>
      <c r="K62" s="128"/>
      <c r="L62" s="128"/>
      <c r="M62" s="95"/>
      <c r="O62" s="86" t="str">
        <f t="shared" si="5"/>
        <v/>
      </c>
      <c r="P62" s="86" t="str">
        <f t="shared" si="6"/>
        <v/>
      </c>
      <c r="Q62" s="86" t="str">
        <f t="shared" si="7"/>
        <v/>
      </c>
      <c r="R62" s="86" t="str">
        <f t="shared" si="8"/>
        <v/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/>
      </c>
      <c r="B63" s="90" t="str">
        <f>IF(C63="","",VLOOKUP('OPĆI DIO'!$C$3,'OPĆI DIO'!$L$6:$U$138,9,FALSE))</f>
        <v/>
      </c>
      <c r="C63" s="96"/>
      <c r="D63" s="91" t="str">
        <f t="shared" si="1"/>
        <v/>
      </c>
      <c r="E63" s="96"/>
      <c r="F63" s="91" t="str">
        <f t="shared" si="2"/>
        <v/>
      </c>
      <c r="G63" s="129"/>
      <c r="H63" s="91" t="str">
        <f t="shared" si="3"/>
        <v/>
      </c>
      <c r="I63" s="91" t="str">
        <f t="shared" si="4"/>
        <v/>
      </c>
      <c r="J63" s="128"/>
      <c r="K63" s="128"/>
      <c r="L63" s="128"/>
      <c r="M63" s="95"/>
      <c r="O63" s="86" t="str">
        <f t="shared" si="5"/>
        <v/>
      </c>
      <c r="P63" s="86" t="str">
        <f t="shared" si="6"/>
        <v/>
      </c>
      <c r="Q63" s="86" t="str">
        <f t="shared" si="7"/>
        <v/>
      </c>
      <c r="R63" s="86" t="str">
        <f t="shared" si="8"/>
        <v/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/>
      </c>
      <c r="B64" s="90" t="str">
        <f>IF(C64="","",VLOOKUP('OPĆI DIO'!$C$3,'OPĆI DIO'!$L$6:$U$138,9,FALSE))</f>
        <v/>
      </c>
      <c r="C64" s="96"/>
      <c r="D64" s="91" t="str">
        <f t="shared" si="1"/>
        <v/>
      </c>
      <c r="E64" s="96"/>
      <c r="F64" s="91" t="str">
        <f t="shared" si="2"/>
        <v/>
      </c>
      <c r="G64" s="129"/>
      <c r="H64" s="91" t="str">
        <f t="shared" si="3"/>
        <v/>
      </c>
      <c r="I64" s="91" t="str">
        <f t="shared" si="4"/>
        <v/>
      </c>
      <c r="J64" s="128"/>
      <c r="K64" s="128"/>
      <c r="L64" s="128"/>
      <c r="M64" s="95"/>
      <c r="O64" s="86" t="str">
        <f t="shared" si="5"/>
        <v/>
      </c>
      <c r="P64" s="86" t="str">
        <f t="shared" si="6"/>
        <v/>
      </c>
      <c r="Q64" s="86" t="str">
        <f t="shared" si="7"/>
        <v/>
      </c>
      <c r="R64" s="86" t="str">
        <f t="shared" si="8"/>
        <v/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/>
      </c>
      <c r="B65" s="90" t="str">
        <f>IF(C65="","",VLOOKUP('OPĆI DIO'!$C$3,'OPĆI DIO'!$L$6:$U$138,9,FALSE))</f>
        <v/>
      </c>
      <c r="C65" s="96"/>
      <c r="D65" s="91" t="str">
        <f t="shared" si="1"/>
        <v/>
      </c>
      <c r="E65" s="96"/>
      <c r="F65" s="91" t="str">
        <f t="shared" si="2"/>
        <v/>
      </c>
      <c r="G65" s="129"/>
      <c r="H65" s="91" t="str">
        <f t="shared" si="3"/>
        <v/>
      </c>
      <c r="I65" s="91" t="str">
        <f t="shared" si="4"/>
        <v/>
      </c>
      <c r="J65" s="128"/>
      <c r="K65" s="128"/>
      <c r="L65" s="128"/>
      <c r="M65" s="95"/>
      <c r="O65" s="86" t="str">
        <f t="shared" si="5"/>
        <v/>
      </c>
      <c r="P65" s="86" t="str">
        <f t="shared" si="6"/>
        <v/>
      </c>
      <c r="Q65" s="86" t="str">
        <f t="shared" si="7"/>
        <v/>
      </c>
      <c r="R65" s="86" t="str">
        <f t="shared" si="8"/>
        <v/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/>
      </c>
      <c r="B66" s="90" t="str">
        <f>IF(C66="","",VLOOKUP('OPĆI DIO'!$C$3,'OPĆI DIO'!$L$6:$U$138,9,FALSE))</f>
        <v/>
      </c>
      <c r="C66" s="96"/>
      <c r="D66" s="91" t="str">
        <f t="shared" si="1"/>
        <v/>
      </c>
      <c r="E66" s="96"/>
      <c r="F66" s="91" t="str">
        <f t="shared" si="2"/>
        <v/>
      </c>
      <c r="G66" s="129"/>
      <c r="H66" s="91" t="str">
        <f t="shared" si="3"/>
        <v/>
      </c>
      <c r="I66" s="91" t="str">
        <f t="shared" si="4"/>
        <v/>
      </c>
      <c r="J66" s="128"/>
      <c r="K66" s="128"/>
      <c r="L66" s="128"/>
      <c r="M66" s="95"/>
      <c r="O66" s="86" t="str">
        <f t="shared" si="5"/>
        <v/>
      </c>
      <c r="P66" s="86" t="str">
        <f t="shared" si="6"/>
        <v/>
      </c>
      <c r="Q66" s="86" t="str">
        <f t="shared" si="7"/>
        <v/>
      </c>
      <c r="R66" s="86" t="str">
        <f t="shared" si="8"/>
        <v/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/>
      </c>
      <c r="B67" s="90" t="str">
        <f>IF(C67="","",VLOOKUP('OPĆI DIO'!$C$3,'OPĆI DIO'!$L$6:$U$138,9,FALSE))</f>
        <v/>
      </c>
      <c r="C67" s="96"/>
      <c r="D67" s="91" t="str">
        <f t="shared" ref="D67:D130" si="13">IFERROR(VLOOKUP(C67,$S$6:$T$24,2,FALSE),"")</f>
        <v/>
      </c>
      <c r="E67" s="96"/>
      <c r="F67" s="91" t="str">
        <f t="shared" si="2"/>
        <v/>
      </c>
      <c r="G67" s="129"/>
      <c r="H67" s="91" t="str">
        <f t="shared" si="3"/>
        <v/>
      </c>
      <c r="I67" s="91" t="str">
        <f t="shared" si="4"/>
        <v/>
      </c>
      <c r="J67" s="128"/>
      <c r="K67" s="128"/>
      <c r="L67" s="128"/>
      <c r="M67" s="95"/>
      <c r="O67" s="86" t="str">
        <f t="shared" si="5"/>
        <v/>
      </c>
      <c r="P67" s="86" t="str">
        <f t="shared" si="6"/>
        <v/>
      </c>
      <c r="Q67" s="86" t="str">
        <f t="shared" si="7"/>
        <v/>
      </c>
      <c r="R67" s="86" t="str">
        <f t="shared" si="8"/>
        <v/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/>
      </c>
      <c r="B68" s="90" t="str">
        <f>IF(C68="","",VLOOKUP('OPĆI DIO'!$C$3,'OPĆI DIO'!$L$6:$U$138,9,FALSE))</f>
        <v/>
      </c>
      <c r="C68" s="96"/>
      <c r="D68" s="91" t="str">
        <f t="shared" si="13"/>
        <v/>
      </c>
      <c r="E68" s="96"/>
      <c r="F68" s="91" t="str">
        <f t="shared" ref="F68:F131" si="14">IFERROR(VLOOKUP(E68,$V$5:$X$129,2,FALSE),"")</f>
        <v/>
      </c>
      <c r="G68" s="129"/>
      <c r="H68" s="91" t="str">
        <f t="shared" ref="H68:H131" si="15">IFERROR(VLOOKUP(G68,$AB$6:$AC$327,2,FALSE),"")</f>
        <v/>
      </c>
      <c r="I68" s="91" t="str">
        <f t="shared" ref="I68:I131" si="16">IFERROR(VLOOKUP(G68,$AB$6:$AF$327,3,FALSE),"")</f>
        <v/>
      </c>
      <c r="J68" s="128"/>
      <c r="K68" s="128"/>
      <c r="L68" s="128"/>
      <c r="M68" s="95"/>
      <c r="O68" s="86" t="str">
        <f t="shared" ref="O68:O131" si="17">LEFT(E68,3)</f>
        <v/>
      </c>
      <c r="P68" s="86" t="str">
        <f t="shared" ref="P68:P131" si="18">LEFT(E68,2)</f>
        <v/>
      </c>
      <c r="Q68" s="86" t="str">
        <f t="shared" ref="Q68:Q131" si="19">LEFT(C68,3)</f>
        <v/>
      </c>
      <c r="R68" s="86" t="str">
        <f t="shared" ref="R68:R131" si="20">MID(I68,2,2)</f>
        <v/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/>
      </c>
      <c r="B69" s="90" t="str">
        <f>IF(C69="","",VLOOKUP('OPĆI DIO'!$C$3,'OPĆI DIO'!$L$6:$U$138,9,FALSE))</f>
        <v/>
      </c>
      <c r="C69" s="96"/>
      <c r="D69" s="91" t="str">
        <f t="shared" si="13"/>
        <v/>
      </c>
      <c r="E69" s="96"/>
      <c r="F69" s="91" t="str">
        <f t="shared" si="14"/>
        <v/>
      </c>
      <c r="G69" s="129"/>
      <c r="H69" s="91" t="str">
        <f t="shared" si="15"/>
        <v/>
      </c>
      <c r="I69" s="91" t="str">
        <f t="shared" si="16"/>
        <v/>
      </c>
      <c r="J69" s="128"/>
      <c r="K69" s="128"/>
      <c r="L69" s="128"/>
      <c r="M69" s="95"/>
      <c r="O69" s="86" t="str">
        <f t="shared" si="17"/>
        <v/>
      </c>
      <c r="P69" s="86" t="str">
        <f t="shared" si="18"/>
        <v/>
      </c>
      <c r="Q69" s="86" t="str">
        <f t="shared" si="19"/>
        <v/>
      </c>
      <c r="R69" s="86" t="str">
        <f t="shared" si="20"/>
        <v/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3"/>
        <v/>
      </c>
      <c r="E70" s="96"/>
      <c r="F70" s="91" t="str">
        <f t="shared" si="14"/>
        <v/>
      </c>
      <c r="G70" s="129"/>
      <c r="H70" s="91" t="str">
        <f t="shared" si="15"/>
        <v/>
      </c>
      <c r="I70" s="91" t="str">
        <f t="shared" si="16"/>
        <v/>
      </c>
      <c r="J70" s="128"/>
      <c r="K70" s="128"/>
      <c r="L70" s="128"/>
      <c r="M70" s="95"/>
      <c r="O70" s="86" t="str">
        <f t="shared" si="17"/>
        <v/>
      </c>
      <c r="P70" s="86" t="str">
        <f t="shared" si="18"/>
        <v/>
      </c>
      <c r="Q70" s="86" t="str">
        <f t="shared" si="19"/>
        <v/>
      </c>
      <c r="R70" s="86" t="str">
        <f t="shared" si="20"/>
        <v/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14649335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198794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14848129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14848129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6" activePane="bottomLeft" state="frozen"/>
      <selection pane="bottomLeft" activeCell="I12" sqref="I12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5" t="s">
        <v>664</v>
      </c>
      <c r="B1" s="365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351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3221</v>
      </c>
      <c r="D4" s="91" t="str">
        <f t="shared" ref="D4:D67" si="2">IFERROR(VLOOKUP(C4,$X$5:$Z$129,2,FALSE),"")</f>
        <v>Uredski materijal i ostali materijalni rashodi</v>
      </c>
      <c r="E4" s="129" t="s">
        <v>699</v>
      </c>
      <c r="F4" s="91" t="str">
        <f t="shared" ref="F4:F67" si="3">IFERROR(VLOOKUP(E4,$AD$6:$AE$1090,2,FALSE),"")</f>
        <v>NOVI PODPROJEKT</v>
      </c>
      <c r="G4" s="91" t="str">
        <f t="shared" ref="G4:G67" si="4">IFERROR(VLOOKUP(E4,$AD$6:$AG$1090,4,FALSE),"")</f>
        <v>NOVI PODPROJEKT</v>
      </c>
      <c r="H4" s="128">
        <v>10000</v>
      </c>
      <c r="I4" s="128">
        <v>8000</v>
      </c>
      <c r="J4" s="128">
        <v>5000</v>
      </c>
      <c r="K4" s="143" t="s">
        <v>5285</v>
      </c>
      <c r="L4" s="142"/>
      <c r="M4" s="142"/>
      <c r="N4" s="143"/>
      <c r="O4" s="322"/>
      <c r="P4" s="95"/>
      <c r="R4" s="86" t="str">
        <f t="shared" ref="R4:R67" si="5">LEFT(C4,3)</f>
        <v>322</v>
      </c>
      <c r="S4" s="86" t="str">
        <f t="shared" ref="S4:S67" si="6">LEFT(C4,2)</f>
        <v>32</v>
      </c>
      <c r="T4" s="86" t="str">
        <f t="shared" ref="T4:T67" si="7">MID(G4,2,2)</f>
        <v>OV</v>
      </c>
      <c r="X4" s="92"/>
      <c r="Y4" s="92"/>
    </row>
    <row r="5" spans="1:33">
      <c r="A5" s="96">
        <v>52</v>
      </c>
      <c r="B5" s="91" t="str">
        <f t="shared" si="1"/>
        <v>Ostale pomoći</v>
      </c>
      <c r="C5" s="96">
        <v>3299</v>
      </c>
      <c r="D5" s="91" t="str">
        <f t="shared" si="2"/>
        <v>Ostali nespomenuti rashodi poslovanja</v>
      </c>
      <c r="E5" s="129" t="s">
        <v>699</v>
      </c>
      <c r="F5" s="91" t="str">
        <f t="shared" si="3"/>
        <v>NOVI PODPROJEKT</v>
      </c>
      <c r="G5" s="91" t="str">
        <f t="shared" si="4"/>
        <v>NOVI PODPROJEKT</v>
      </c>
      <c r="H5" s="128">
        <v>6470</v>
      </c>
      <c r="I5" s="128">
        <v>6470</v>
      </c>
      <c r="J5" s="128">
        <v>6000</v>
      </c>
      <c r="K5" s="143" t="s">
        <v>5285</v>
      </c>
      <c r="L5" s="142"/>
      <c r="M5" s="142"/>
      <c r="N5" s="143"/>
      <c r="O5" s="322"/>
      <c r="P5" s="95"/>
      <c r="R5" s="86" t="str">
        <f t="shared" si="5"/>
        <v>329</v>
      </c>
      <c r="S5" s="86" t="str">
        <f t="shared" si="6"/>
        <v>32</v>
      </c>
      <c r="T5" s="86" t="str">
        <f t="shared" si="7"/>
        <v>OV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1"/>
        <v>Ostale pomoći</v>
      </c>
      <c r="C7" s="96">
        <v>3211</v>
      </c>
      <c r="D7" s="91" t="str">
        <f t="shared" si="2"/>
        <v>Službena putovanja</v>
      </c>
      <c r="E7" s="129" t="s">
        <v>699</v>
      </c>
      <c r="F7" s="91" t="str">
        <f t="shared" si="3"/>
        <v>NOVI PODPROJEKT</v>
      </c>
      <c r="G7" s="91" t="str">
        <f t="shared" si="4"/>
        <v>NOVI PODPROJEKT</v>
      </c>
      <c r="H7" s="128">
        <v>665</v>
      </c>
      <c r="I7" s="128"/>
      <c r="J7" s="128"/>
      <c r="K7" s="143" t="s">
        <v>5289</v>
      </c>
      <c r="L7" s="142"/>
      <c r="M7" s="142"/>
      <c r="N7" s="143"/>
      <c r="O7" s="143" t="s">
        <v>5286</v>
      </c>
      <c r="P7" s="95"/>
      <c r="R7" s="86" t="str">
        <f t="shared" si="5"/>
        <v>321</v>
      </c>
      <c r="S7" s="86" t="str">
        <f t="shared" si="6"/>
        <v>32</v>
      </c>
      <c r="T7" s="86" t="str">
        <f t="shared" si="7"/>
        <v>OV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52</v>
      </c>
      <c r="B8" s="91" t="str">
        <f t="shared" si="1"/>
        <v>Ostale pomoći</v>
      </c>
      <c r="C8" s="96">
        <v>3224</v>
      </c>
      <c r="D8" s="91" t="str">
        <f t="shared" si="2"/>
        <v>Materijal i dijelovi za tekuće i investicijsko održavanje</v>
      </c>
      <c r="E8" s="129" t="s">
        <v>699</v>
      </c>
      <c r="F8" s="91" t="str">
        <f t="shared" si="3"/>
        <v>NOVI PODPROJEKT</v>
      </c>
      <c r="G8" s="91" t="str">
        <f t="shared" si="4"/>
        <v>NOVI PODPROJEKT</v>
      </c>
      <c r="H8" s="128">
        <v>3318</v>
      </c>
      <c r="I8" s="128"/>
      <c r="J8" s="128"/>
      <c r="K8" s="143" t="s">
        <v>5289</v>
      </c>
      <c r="L8" s="142"/>
      <c r="M8" s="142"/>
      <c r="N8" s="143"/>
      <c r="O8" s="143" t="s">
        <v>5286</v>
      </c>
      <c r="P8" s="95"/>
      <c r="R8" s="86" t="str">
        <f t="shared" si="5"/>
        <v>322</v>
      </c>
      <c r="S8" s="86" t="str">
        <f t="shared" si="6"/>
        <v>32</v>
      </c>
      <c r="T8" s="86" t="str">
        <f t="shared" si="7"/>
        <v>OV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52</v>
      </c>
      <c r="B9" s="91" t="str">
        <f t="shared" si="1"/>
        <v>Ostale pomoći</v>
      </c>
      <c r="C9" s="96">
        <v>3299</v>
      </c>
      <c r="D9" s="91" t="str">
        <f t="shared" si="2"/>
        <v>Ostali nespomenuti rashodi poslovanja</v>
      </c>
      <c r="E9" s="129" t="s">
        <v>699</v>
      </c>
      <c r="F9" s="91" t="str">
        <f t="shared" si="3"/>
        <v>NOVI PODPROJEKT</v>
      </c>
      <c r="G9" s="91" t="str">
        <f t="shared" si="4"/>
        <v>NOVI PODPROJEKT</v>
      </c>
      <c r="H9" s="128">
        <v>5308</v>
      </c>
      <c r="I9" s="128"/>
      <c r="J9" s="128"/>
      <c r="K9" s="143" t="s">
        <v>5289</v>
      </c>
      <c r="L9" s="142"/>
      <c r="M9" s="142"/>
      <c r="N9" s="143"/>
      <c r="O9" s="143" t="s">
        <v>5286</v>
      </c>
      <c r="P9" s="95"/>
      <c r="R9" s="86" t="str">
        <f t="shared" si="5"/>
        <v>329</v>
      </c>
      <c r="S9" s="86" t="str">
        <f t="shared" si="6"/>
        <v>32</v>
      </c>
      <c r="T9" s="86" t="str">
        <f t="shared" si="7"/>
        <v>OV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51</v>
      </c>
      <c r="B11" s="91" t="str">
        <f t="shared" si="1"/>
        <v>Pomoći EU</v>
      </c>
      <c r="C11" s="96">
        <v>3211</v>
      </c>
      <c r="D11" s="91" t="str">
        <f t="shared" si="2"/>
        <v>Službena putovanja</v>
      </c>
      <c r="E11" s="129" t="s">
        <v>699</v>
      </c>
      <c r="F11" s="91" t="str">
        <f t="shared" si="3"/>
        <v>NOVI PODPROJEKT</v>
      </c>
      <c r="G11" s="91" t="str">
        <f t="shared" si="4"/>
        <v>NOVI PODPROJEKT</v>
      </c>
      <c r="H11" s="128">
        <v>10000</v>
      </c>
      <c r="I11" s="128"/>
      <c r="J11" s="128"/>
      <c r="K11" s="143" t="s">
        <v>5287</v>
      </c>
      <c r="L11" s="142"/>
      <c r="M11" s="142"/>
      <c r="N11" s="143"/>
      <c r="O11" s="143" t="s">
        <v>5288</v>
      </c>
      <c r="P11" s="95"/>
      <c r="R11" s="86" t="str">
        <f t="shared" si="5"/>
        <v>321</v>
      </c>
      <c r="S11" s="86" t="str">
        <f t="shared" si="6"/>
        <v>32</v>
      </c>
      <c r="T11" s="86" t="str">
        <f t="shared" si="7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51</v>
      </c>
      <c r="B12" s="91" t="str">
        <f t="shared" si="1"/>
        <v>Pomoći EU</v>
      </c>
      <c r="C12" s="96">
        <v>3299</v>
      </c>
      <c r="D12" s="91" t="str">
        <f t="shared" si="2"/>
        <v>Ostali nespomenuti rashodi poslovanja</v>
      </c>
      <c r="E12" s="129" t="s">
        <v>699</v>
      </c>
      <c r="F12" s="91" t="str">
        <f t="shared" si="3"/>
        <v>NOVI PODPROJEKT</v>
      </c>
      <c r="G12" s="91" t="str">
        <f t="shared" si="4"/>
        <v>NOVI PODPROJEKT</v>
      </c>
      <c r="H12" s="128">
        <v>12000</v>
      </c>
      <c r="I12" s="128"/>
      <c r="J12" s="128"/>
      <c r="K12" s="143" t="s">
        <v>5287</v>
      </c>
      <c r="L12" s="142"/>
      <c r="M12" s="142"/>
      <c r="N12" s="143"/>
      <c r="O12" s="143" t="s">
        <v>5288</v>
      </c>
      <c r="P12" s="95"/>
      <c r="R12" s="86" t="str">
        <f t="shared" si="5"/>
        <v>329</v>
      </c>
      <c r="S12" s="86" t="str">
        <f t="shared" si="6"/>
        <v>32</v>
      </c>
      <c r="T12" s="86" t="str">
        <f t="shared" si="7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51</v>
      </c>
      <c r="B17" s="91" t="str">
        <f t="shared" si="1"/>
        <v>Pomoći EU</v>
      </c>
      <c r="C17" s="96">
        <v>3211</v>
      </c>
      <c r="D17" s="91" t="str">
        <f t="shared" si="2"/>
        <v>Službena putovanja</v>
      </c>
      <c r="E17" s="129" t="s">
        <v>2354</v>
      </c>
      <c r="F17" s="91" t="str">
        <f t="shared" si="3"/>
        <v>LIFE 18 NAT/HR/00847- Dinara povratak životu</v>
      </c>
      <c r="G17" s="91" t="str">
        <f t="shared" si="4"/>
        <v>0942</v>
      </c>
      <c r="H17" s="128">
        <v>10000</v>
      </c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>321</v>
      </c>
      <c r="S17" s="86" t="str">
        <f t="shared" si="6"/>
        <v>32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"/>
        <v>Pomoći EU</v>
      </c>
      <c r="C18" s="96">
        <v>3224</v>
      </c>
      <c r="D18" s="91" t="str">
        <f t="shared" si="2"/>
        <v>Materijal i dijelovi za tekuće i investicijsko održavanje</v>
      </c>
      <c r="E18" s="129" t="s">
        <v>2354</v>
      </c>
      <c r="F18" s="91" t="str">
        <f t="shared" si="3"/>
        <v>LIFE 18 NAT/HR/00847- Dinara povratak životu</v>
      </c>
      <c r="G18" s="91" t="str">
        <f t="shared" si="4"/>
        <v>0942</v>
      </c>
      <c r="H18" s="128">
        <v>1327</v>
      </c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>322</v>
      </c>
      <c r="S18" s="86" t="str">
        <f t="shared" si="6"/>
        <v>32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"/>
        <v>Pomoći EU</v>
      </c>
      <c r="C19" s="96">
        <v>3111</v>
      </c>
      <c r="D19" s="91" t="str">
        <f t="shared" si="2"/>
        <v>Plaće za redovan rad</v>
      </c>
      <c r="E19" s="129" t="s">
        <v>2354</v>
      </c>
      <c r="F19" s="91" t="str">
        <f t="shared" si="3"/>
        <v>LIFE 18 NAT/HR/00847- Dinara povratak životu</v>
      </c>
      <c r="G19" s="91" t="str">
        <f t="shared" si="4"/>
        <v>0942</v>
      </c>
      <c r="H19" s="128">
        <v>10617</v>
      </c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>311</v>
      </c>
      <c r="S19" s="86" t="str">
        <f t="shared" si="6"/>
        <v>31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51</v>
      </c>
      <c r="B21" s="91" t="str">
        <f t="shared" si="1"/>
        <v>Pomoći EU</v>
      </c>
      <c r="C21" s="96">
        <v>3211</v>
      </c>
      <c r="D21" s="91" t="str">
        <f t="shared" si="2"/>
        <v>Službena putovanja</v>
      </c>
      <c r="E21" s="129" t="s">
        <v>2358</v>
      </c>
      <c r="F21" s="91" t="str">
        <f t="shared" si="3"/>
        <v>H2020- upravljanje poljoprivrednom hranom</v>
      </c>
      <c r="G21" s="91" t="str">
        <f t="shared" si="4"/>
        <v>0942</v>
      </c>
      <c r="H21" s="128">
        <v>49770</v>
      </c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>321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51</v>
      </c>
      <c r="B22" s="91" t="str">
        <f t="shared" si="1"/>
        <v>Pomoći EU</v>
      </c>
      <c r="C22" s="96">
        <v>3111</v>
      </c>
      <c r="D22" s="91" t="str">
        <f t="shared" si="2"/>
        <v>Plaće za redovan rad</v>
      </c>
      <c r="E22" s="129" t="s">
        <v>2358</v>
      </c>
      <c r="F22" s="91" t="str">
        <f t="shared" si="3"/>
        <v>H2020- upravljanje poljoprivrednom hranom</v>
      </c>
      <c r="G22" s="91" t="str">
        <f t="shared" si="4"/>
        <v>0942</v>
      </c>
      <c r="H22" s="128">
        <v>39816</v>
      </c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>311</v>
      </c>
      <c r="S22" s="86" t="str">
        <f t="shared" si="6"/>
        <v>31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51</v>
      </c>
      <c r="B23" s="91" t="str">
        <f t="shared" si="1"/>
        <v>Pomoći EU</v>
      </c>
      <c r="C23" s="96">
        <v>3299</v>
      </c>
      <c r="D23" s="91" t="str">
        <f t="shared" si="2"/>
        <v>Ostali nespomenuti rashodi poslovanja</v>
      </c>
      <c r="E23" s="129" t="s">
        <v>2358</v>
      </c>
      <c r="F23" s="91" t="str">
        <f t="shared" si="3"/>
        <v>H2020- upravljanje poljoprivrednom hranom</v>
      </c>
      <c r="G23" s="91" t="str">
        <f t="shared" si="4"/>
        <v>0942</v>
      </c>
      <c r="H23" s="128">
        <v>27871</v>
      </c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>329</v>
      </c>
      <c r="S23" s="86" t="str">
        <f t="shared" si="6"/>
        <v>32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52</v>
      </c>
      <c r="B25" s="91" t="str">
        <f t="shared" si="1"/>
        <v>Ostale pomoći</v>
      </c>
      <c r="C25" s="96">
        <v>3211</v>
      </c>
      <c r="D25" s="91" t="str">
        <f t="shared" si="2"/>
        <v>Službena putovanja</v>
      </c>
      <c r="E25" s="129" t="s">
        <v>2491</v>
      </c>
      <c r="F25" s="91" t="str">
        <f t="shared" si="3"/>
        <v>MEMORIE Mjere prilagodbe klimatskim promjenama za održivo upravljanje prirodnim resursima</v>
      </c>
      <c r="G25" s="91" t="str">
        <f t="shared" si="4"/>
        <v>0942</v>
      </c>
      <c r="H25" s="128">
        <v>1620</v>
      </c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>321</v>
      </c>
      <c r="S25" s="86" t="str">
        <f t="shared" si="6"/>
        <v>32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3299</v>
      </c>
      <c r="D26" s="91" t="str">
        <f t="shared" si="2"/>
        <v>Ostali nespomenuti rashodi poslovanja</v>
      </c>
      <c r="E26" s="129" t="s">
        <v>2491</v>
      </c>
      <c r="F26" s="91" t="str">
        <f t="shared" si="3"/>
        <v>MEMORIE Mjere prilagodbe klimatskim promjenama za održivo upravljanje prirodnim resursima</v>
      </c>
      <c r="G26" s="91" t="str">
        <f t="shared" si="4"/>
        <v>0942</v>
      </c>
      <c r="H26" s="128">
        <v>245</v>
      </c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>329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52</v>
      </c>
      <c r="B28" s="91" t="str">
        <f t="shared" si="1"/>
        <v>Ostale pomoći</v>
      </c>
      <c r="C28" s="96">
        <v>3111</v>
      </c>
      <c r="D28" s="91" t="str">
        <f t="shared" si="2"/>
        <v>Plaće za redovan rad</v>
      </c>
      <c r="E28" s="129" t="s">
        <v>2501</v>
      </c>
      <c r="F28" s="91" t="str">
        <f t="shared" si="3"/>
        <v>CroViZone - Prilagodba vinogradarskih zona RH klimatskim promjenama</v>
      </c>
      <c r="G28" s="91" t="str">
        <f t="shared" si="4"/>
        <v>0942</v>
      </c>
      <c r="H28" s="128">
        <v>5445</v>
      </c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>311</v>
      </c>
      <c r="S28" s="86" t="str">
        <f t="shared" si="6"/>
        <v>31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1"/>
        <v>Ostale pomoći</v>
      </c>
      <c r="C29" s="96">
        <v>3211</v>
      </c>
      <c r="D29" s="91" t="str">
        <f t="shared" si="2"/>
        <v>Službena putovanja</v>
      </c>
      <c r="E29" s="129" t="s">
        <v>2501</v>
      </c>
      <c r="F29" s="91" t="str">
        <f t="shared" si="3"/>
        <v>CroViZone - Prilagodba vinogradarskih zona RH klimatskim promjenama</v>
      </c>
      <c r="G29" s="91" t="str">
        <f t="shared" si="4"/>
        <v>0942</v>
      </c>
      <c r="H29" s="128">
        <v>1000</v>
      </c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>321</v>
      </c>
      <c r="S29" s="86" t="str">
        <f t="shared" si="6"/>
        <v>32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52</v>
      </c>
      <c r="B31" s="91" t="str">
        <f t="shared" si="1"/>
        <v>Ostale pomoći</v>
      </c>
      <c r="C31" s="96">
        <v>3111</v>
      </c>
      <c r="D31" s="91" t="str">
        <f t="shared" si="2"/>
        <v>Plaće za redovan rad</v>
      </c>
      <c r="E31" s="129" t="s">
        <v>2537</v>
      </c>
      <c r="F31" s="91" t="str">
        <f t="shared" si="3"/>
        <v>EFRR - Klimatske promjene AgroSPARC- Napredna i prediktivna poljoprivreda za otpornost klimatskim promjenama</v>
      </c>
      <c r="G31" s="91" t="str">
        <f t="shared" si="4"/>
        <v>0942</v>
      </c>
      <c r="H31" s="128">
        <v>2322</v>
      </c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>311</v>
      </c>
      <c r="S31" s="86" t="str">
        <f t="shared" si="6"/>
        <v>31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52</v>
      </c>
      <c r="B32" s="91" t="str">
        <f t="shared" si="1"/>
        <v>Ostale pomoći</v>
      </c>
      <c r="C32" s="96">
        <v>3211</v>
      </c>
      <c r="D32" s="91" t="str">
        <f t="shared" si="2"/>
        <v>Službena putovanja</v>
      </c>
      <c r="E32" s="129" t="s">
        <v>2537</v>
      </c>
      <c r="F32" s="91" t="str">
        <f t="shared" si="3"/>
        <v>EFRR - Klimatske promjene AgroSPARC- Napredna i prediktivna poljoprivreda za otpornost klimatskim promjenama</v>
      </c>
      <c r="G32" s="91" t="str">
        <f t="shared" si="4"/>
        <v>0942</v>
      </c>
      <c r="H32" s="128">
        <v>1000</v>
      </c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>321</v>
      </c>
      <c r="S32" s="86" t="str">
        <f t="shared" si="6"/>
        <v>32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>
        <v>576</v>
      </c>
      <c r="B34" s="91" t="str">
        <f t="shared" si="1"/>
        <v>Fond solidarnosti Europske unije</v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581</v>
      </c>
      <c r="B35" s="91" t="str">
        <f t="shared" si="1"/>
        <v>Mehanizam za oporavak i otpornost</v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opLeftCell="C1" zoomScale="80" zoomScaleNormal="80" workbookViewId="0">
      <selection activeCell="K30" sqref="K30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9" ht="21" customHeight="1">
      <c r="B2" s="366" t="s">
        <v>5265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565025</v>
      </c>
      <c r="E5" s="3"/>
      <c r="F5" s="3"/>
      <c r="G5" s="3">
        <v>2959</v>
      </c>
      <c r="H5" s="3"/>
      <c r="I5" s="3"/>
      <c r="J5" s="3">
        <v>61401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>
        <v>500665</v>
      </c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15190418</v>
      </c>
      <c r="E6" s="12">
        <f>+'A.1 PRIHODI'!E8</f>
        <v>11007373</v>
      </c>
      <c r="F6" s="12">
        <f>+'A.1 PRIHODI'!F8</f>
        <v>0</v>
      </c>
      <c r="G6" s="12">
        <f>+'A.1 PRIHODI'!G8</f>
        <v>1824657</v>
      </c>
      <c r="H6" s="12">
        <f>+'A.1 PRIHODI'!H8</f>
        <v>0</v>
      </c>
      <c r="I6" s="12">
        <f>+'A.1 PRIHODI'!I8+'B. RAČUN FIN'!I6</f>
        <v>1561468</v>
      </c>
      <c r="J6" s="12">
        <f>+'A.1 PRIHODI'!J8</f>
        <v>100000</v>
      </c>
      <c r="K6" s="12">
        <f>+'A.1 PRIHODI'!K8</f>
        <v>653587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10537</v>
      </c>
      <c r="U6" s="12">
        <f>+'A.1 PRIHODI'!U8</f>
        <v>0</v>
      </c>
      <c r="V6" s="12">
        <f>+'A.1 PRIHODI'!V8</f>
        <v>32796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-907314</v>
      </c>
      <c r="E7" s="197"/>
      <c r="F7" s="197"/>
      <c r="G7" s="197"/>
      <c r="H7" s="197"/>
      <c r="I7" s="197"/>
      <c r="J7" s="197"/>
      <c r="K7" s="197">
        <v>-616194</v>
      </c>
      <c r="L7" s="197"/>
      <c r="M7" s="197"/>
      <c r="N7" s="197"/>
      <c r="O7" s="197"/>
      <c r="P7" s="197"/>
      <c r="Q7" s="197"/>
      <c r="R7" s="197"/>
      <c r="S7" s="197"/>
      <c r="T7" s="197">
        <v>-537</v>
      </c>
      <c r="U7" s="197"/>
      <c r="V7" s="197">
        <v>-290583</v>
      </c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14848129</v>
      </c>
      <c r="E8" s="12">
        <f>+E5+E6+E7</f>
        <v>11007373</v>
      </c>
      <c r="F8" s="12">
        <f t="shared" ref="F8:W8" si="1">+F5+F6+F7</f>
        <v>0</v>
      </c>
      <c r="G8" s="12">
        <f t="shared" si="1"/>
        <v>1827616</v>
      </c>
      <c r="H8" s="12">
        <f t="shared" si="1"/>
        <v>0</v>
      </c>
      <c r="I8" s="12">
        <f t="shared" si="1"/>
        <v>1561468</v>
      </c>
      <c r="J8" s="12">
        <f t="shared" si="1"/>
        <v>161401</v>
      </c>
      <c r="K8" s="12">
        <f t="shared" si="1"/>
        <v>37393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10000</v>
      </c>
      <c r="U8" s="12">
        <f t="shared" si="1"/>
        <v>0</v>
      </c>
      <c r="V8" s="12">
        <f t="shared" si="1"/>
        <v>242878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14848129</v>
      </c>
      <c r="E9" s="82">
        <f>+'A.2 RASHODI'!E4+'B. RAČUN FIN'!E11</f>
        <v>11007373</v>
      </c>
      <c r="F9" s="82">
        <f>+'A.2 RASHODI'!F4+'B. RAČUN FIN'!F11</f>
        <v>0</v>
      </c>
      <c r="G9" s="82">
        <f>+'A.2 RASHODI'!G4+'B. RAČUN FIN'!G11</f>
        <v>1827616</v>
      </c>
      <c r="H9" s="82">
        <f>+'A.2 RASHODI'!H4+'B. RAČUN FIN'!H11</f>
        <v>0</v>
      </c>
      <c r="I9" s="82">
        <f>+'A.2 RASHODI'!I4+'B. RAČUN FIN'!I11</f>
        <v>1561468</v>
      </c>
      <c r="J9" s="82">
        <f>+'A.2 RASHODI'!J4+'B. RAČUN FIN'!J11</f>
        <v>161401</v>
      </c>
      <c r="K9" s="82">
        <f>+'A.2 RASHODI'!K4+'B. RAČUN FIN'!K11</f>
        <v>37393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10000</v>
      </c>
      <c r="U9" s="82">
        <f>+'A.2 RASHODI'!U4+'B. RAČUN FIN'!U11</f>
        <v>0</v>
      </c>
      <c r="V9" s="82">
        <f>+'A.2 RASHODI'!V4+'B. RAČUN FIN'!V11</f>
        <v>242878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907314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616194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537</v>
      </c>
      <c r="U13" s="131">
        <f t="shared" si="4"/>
        <v>0</v>
      </c>
      <c r="V13" s="131">
        <f t="shared" si="4"/>
        <v>290583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14946400</v>
      </c>
      <c r="E14" s="12">
        <f>+'A.1 PRIHODI'!E22</f>
        <v>11007373</v>
      </c>
      <c r="F14" s="12">
        <f>+'A.1 PRIHODI'!F22</f>
        <v>0</v>
      </c>
      <c r="G14" s="12">
        <f>+'A.1 PRIHODI'!G22</f>
        <v>1861150</v>
      </c>
      <c r="H14" s="12">
        <f>+'A.1 PRIHODI'!H22</f>
        <v>0</v>
      </c>
      <c r="I14" s="12">
        <f>+'A.1 PRIHODI'!I22+'B. RAČUN FIN'!I17</f>
        <v>1609874</v>
      </c>
      <c r="J14" s="12">
        <f>+'A.1 PRIHODI'!J22</f>
        <v>0</v>
      </c>
      <c r="K14" s="12">
        <f>+'A.1 PRIHODI'!K22</f>
        <v>424224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10327</v>
      </c>
      <c r="U14" s="12">
        <f>+'A.1 PRIHODI'!U22</f>
        <v>0</v>
      </c>
      <c r="V14" s="12">
        <f>+'A.1 PRIHODI'!V22</f>
        <v>33452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-1167995</v>
      </c>
      <c r="E15" s="65"/>
      <c r="F15" s="65"/>
      <c r="G15" s="65">
        <v>-21176</v>
      </c>
      <c r="H15" s="65"/>
      <c r="I15" s="65"/>
      <c r="J15" s="65"/>
      <c r="K15" s="65">
        <v>-1025948</v>
      </c>
      <c r="L15" s="65"/>
      <c r="M15" s="3"/>
      <c r="N15" s="65"/>
      <c r="O15" s="65"/>
      <c r="P15" s="65"/>
      <c r="Q15" s="65"/>
      <c r="R15" s="65"/>
      <c r="S15" s="65"/>
      <c r="T15" s="65">
        <v>-864</v>
      </c>
      <c r="U15" s="65"/>
      <c r="V15" s="65">
        <v>-120007</v>
      </c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14685719</v>
      </c>
      <c r="E16" s="12">
        <f>+E13+E14+E15</f>
        <v>11007373</v>
      </c>
      <c r="F16" s="12">
        <f t="shared" ref="F16:W16" si="5">+F13+F14+F15</f>
        <v>0</v>
      </c>
      <c r="G16" s="12">
        <f t="shared" si="5"/>
        <v>1839974</v>
      </c>
      <c r="H16" s="12">
        <f t="shared" si="5"/>
        <v>0</v>
      </c>
      <c r="I16" s="12">
        <f t="shared" si="5"/>
        <v>1609874</v>
      </c>
      <c r="J16" s="12">
        <f t="shared" si="5"/>
        <v>0</v>
      </c>
      <c r="K16" s="12">
        <f t="shared" si="5"/>
        <v>14470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10000</v>
      </c>
      <c r="U16" s="12">
        <f t="shared" si="5"/>
        <v>0</v>
      </c>
      <c r="V16" s="12">
        <f t="shared" si="5"/>
        <v>204028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14685719</v>
      </c>
      <c r="E17" s="82">
        <f>+'A.2 RASHODI'!E21+'B. RAČUN FIN'!E22</f>
        <v>11007373</v>
      </c>
      <c r="F17" s="82">
        <f>+'A.2 RASHODI'!F21+'B. RAČUN FIN'!F22</f>
        <v>0</v>
      </c>
      <c r="G17" s="82">
        <f>+'A.2 RASHODI'!G21+'B. RAČUN FIN'!G22</f>
        <v>1839974</v>
      </c>
      <c r="H17" s="82">
        <f>+'A.2 RASHODI'!H21+'B. RAČUN FIN'!H22</f>
        <v>0</v>
      </c>
      <c r="I17" s="82">
        <f>+'A.2 RASHODI'!I21+'B. RAČUN FIN'!I22</f>
        <v>1609874</v>
      </c>
      <c r="J17" s="82">
        <f>+'A.2 RASHODI'!J21+'B. RAČUN FIN'!J22</f>
        <v>0</v>
      </c>
      <c r="K17" s="82">
        <f>+'A.2 RASHODI'!K21+'B. RAČUN FIN'!K22</f>
        <v>14470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10000</v>
      </c>
      <c r="U17" s="82">
        <f>+'A.2 RASHODI'!U21+'B. RAČUN FIN'!U22</f>
        <v>0</v>
      </c>
      <c r="V17" s="82">
        <f>+'A.2 RASHODI'!V21+'B. RAČUN FIN'!V22</f>
        <v>204028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1167995</v>
      </c>
      <c r="E21" s="131">
        <f t="shared" ref="E21:W21" si="8">-E15</f>
        <v>0</v>
      </c>
      <c r="F21" s="131">
        <f t="shared" si="8"/>
        <v>0</v>
      </c>
      <c r="G21" s="131">
        <f t="shared" si="8"/>
        <v>21176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1025948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864</v>
      </c>
      <c r="U21" s="131">
        <f t="shared" si="8"/>
        <v>0</v>
      </c>
      <c r="V21" s="131">
        <f t="shared" si="8"/>
        <v>120007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14820711</v>
      </c>
      <c r="E22" s="12">
        <f>+'A.1 PRIHODI'!E36</f>
        <v>11007373</v>
      </c>
      <c r="F22" s="12">
        <f>+'A.1 PRIHODI'!F36</f>
        <v>0</v>
      </c>
      <c r="G22" s="12">
        <f>+'A.1 PRIHODI'!G36</f>
        <v>1898373</v>
      </c>
      <c r="H22" s="12">
        <f>+'A.1 PRIHODI'!H36</f>
        <v>0</v>
      </c>
      <c r="I22" s="12">
        <f>+'A.1 PRIHODI'!I36+'B. RAČUN FIN'!I28</f>
        <v>1609874</v>
      </c>
      <c r="J22" s="12">
        <f>+'A.1 PRIHODI'!J36</f>
        <v>0</v>
      </c>
      <c r="K22" s="12">
        <f>+'A.1 PRIHODI'!K36</f>
        <v>260470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10500</v>
      </c>
      <c r="U22" s="12">
        <f>+'A.1 PRIHODI'!U36</f>
        <v>0</v>
      </c>
      <c r="V22" s="12">
        <f>+'A.1 PRIHODI'!V36</f>
        <v>34121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-1335428</v>
      </c>
      <c r="E23" s="65"/>
      <c r="F23" s="65"/>
      <c r="G23" s="65">
        <v>-59646</v>
      </c>
      <c r="H23" s="65"/>
      <c r="I23" s="65"/>
      <c r="J23" s="65"/>
      <c r="K23" s="65">
        <v>-1274418</v>
      </c>
      <c r="L23" s="65"/>
      <c r="M23" s="3"/>
      <c r="N23" s="65"/>
      <c r="O23" s="65"/>
      <c r="P23" s="65"/>
      <c r="Q23" s="65"/>
      <c r="R23" s="65"/>
      <c r="S23" s="65"/>
      <c r="T23" s="65">
        <v>-1364</v>
      </c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14653278</v>
      </c>
      <c r="E24" s="12">
        <f>+E21+E22+E23</f>
        <v>11007373</v>
      </c>
      <c r="F24" s="12">
        <f t="shared" ref="F24:W24" si="9">+F21+F22+F23</f>
        <v>0</v>
      </c>
      <c r="G24" s="12">
        <f t="shared" si="9"/>
        <v>1859903</v>
      </c>
      <c r="H24" s="12">
        <f t="shared" si="9"/>
        <v>0</v>
      </c>
      <c r="I24" s="12">
        <f t="shared" si="9"/>
        <v>1609874</v>
      </c>
      <c r="J24" s="12">
        <f t="shared" si="9"/>
        <v>0</v>
      </c>
      <c r="K24" s="12">
        <f t="shared" si="9"/>
        <v>12000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10000</v>
      </c>
      <c r="U24" s="12">
        <f t="shared" si="9"/>
        <v>0</v>
      </c>
      <c r="V24" s="12">
        <f t="shared" si="9"/>
        <v>154128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14652278</v>
      </c>
      <c r="E25" s="82">
        <f>+'A.2 RASHODI'!E38+'B. RAČUN FIN'!E33</f>
        <v>11007373</v>
      </c>
      <c r="F25" s="82">
        <f>+'A.2 RASHODI'!F38+'B. RAČUN FIN'!F33</f>
        <v>0</v>
      </c>
      <c r="G25" s="82">
        <f>+'A.2 RASHODI'!G38+'B. RAČUN FIN'!G33</f>
        <v>1859903</v>
      </c>
      <c r="H25" s="82">
        <f>+'A.2 RASHODI'!H38+'B. RAČUN FIN'!H33</f>
        <v>0</v>
      </c>
      <c r="I25" s="82">
        <f>+'A.2 RASHODI'!I38+'B. RAČUN FIN'!I33</f>
        <v>1609874</v>
      </c>
      <c r="J25" s="82">
        <f>+'A.2 RASHODI'!J38+'B. RAČUN FIN'!J33</f>
        <v>0</v>
      </c>
      <c r="K25" s="82">
        <f>+'A.2 RASHODI'!K38+'B. RAČUN FIN'!K33</f>
        <v>11000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10000</v>
      </c>
      <c r="U25" s="82">
        <f>+'A.2 RASHODI'!U38+'B. RAČUN FIN'!U33</f>
        <v>0</v>
      </c>
      <c r="V25" s="82">
        <f>+'A.2 RASHODI'!V38+'B. RAČUN FIN'!V33</f>
        <v>154128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1000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1000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6" t="s">
        <v>5087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2" ht="15.6" customHeight="1"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2" ht="15.6" customHeight="1">
      <c r="B3" s="366" t="s">
        <v>5088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</row>
    <row r="4" spans="1:22" ht="15.6" customHeight="1"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</row>
    <row r="5" spans="1:22" ht="15.6" customHeight="1">
      <c r="B5" s="366" t="s">
        <v>5112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15190418</v>
      </c>
      <c r="E8" s="69">
        <f>+E19+E16</f>
        <v>11007373</v>
      </c>
      <c r="F8" s="69">
        <f>+F19+F16</f>
        <v>0</v>
      </c>
      <c r="G8" s="69">
        <f>+G19+G16</f>
        <v>1824657</v>
      </c>
      <c r="H8" s="69">
        <f t="shared" ref="H8:V8" si="0">+H19+H16</f>
        <v>0</v>
      </c>
      <c r="I8" s="69">
        <f t="shared" si="0"/>
        <v>1561468</v>
      </c>
      <c r="J8" s="69">
        <f>+J19+J16</f>
        <v>100000</v>
      </c>
      <c r="K8" s="69">
        <f t="shared" si="0"/>
        <v>653587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10537</v>
      </c>
      <c r="U8" s="69">
        <f t="shared" si="0"/>
        <v>0</v>
      </c>
      <c r="V8" s="69">
        <f t="shared" si="0"/>
        <v>32796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753587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100000</v>
      </c>
      <c r="K10" s="132">
        <f>SUMIFS('Unos prihoda i primitaka'!$G$3:$G$501,'Unos prihoda i primitaka'!$C$3:$C$501,"=52",'Unos prihoda i primitaka'!$L$3:$L$501,"=63")</f>
        <v>653587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1561468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1561468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1835194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1824657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10537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11007373</v>
      </c>
      <c r="E14" s="132">
        <f>SUMIFS('Unos prihoda i primitaka'!$G$3:$G$501,'Unos prihoda i primitaka'!$C$3:$C$501,"=11",'Unos prihoda i primitaka'!$L$3:$L$501,"=67")</f>
        <v>11007373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15157622</v>
      </c>
      <c r="E16" s="4">
        <f t="shared" ref="E16:V16" si="2">SUM(E9:E15)</f>
        <v>11007373</v>
      </c>
      <c r="F16" s="4">
        <f t="shared" si="2"/>
        <v>0</v>
      </c>
      <c r="G16" s="4">
        <f t="shared" si="2"/>
        <v>1824657</v>
      </c>
      <c r="H16" s="4">
        <f t="shared" si="2"/>
        <v>0</v>
      </c>
      <c r="I16" s="4">
        <f t="shared" si="2"/>
        <v>1561468</v>
      </c>
      <c r="J16" s="4">
        <f t="shared" si="2"/>
        <v>100000</v>
      </c>
      <c r="K16" s="4">
        <f t="shared" si="2"/>
        <v>653587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10537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32796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32796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32796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32796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14946400</v>
      </c>
      <c r="E22" s="69">
        <f t="shared" ref="E22:V22" si="4">+E33+E30</f>
        <v>11007373</v>
      </c>
      <c r="F22" s="69">
        <f t="shared" si="4"/>
        <v>0</v>
      </c>
      <c r="G22" s="69">
        <f t="shared" si="4"/>
        <v>1861150</v>
      </c>
      <c r="H22" s="69">
        <f t="shared" si="4"/>
        <v>0</v>
      </c>
      <c r="I22" s="69">
        <f t="shared" si="4"/>
        <v>1609874</v>
      </c>
      <c r="J22" s="69">
        <f t="shared" si="4"/>
        <v>0</v>
      </c>
      <c r="K22" s="69">
        <f t="shared" si="4"/>
        <v>424224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10327</v>
      </c>
      <c r="U22" s="69">
        <f t="shared" si="4"/>
        <v>0</v>
      </c>
      <c r="V22" s="69">
        <f t="shared" si="4"/>
        <v>33452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424224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424224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1609874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1609874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1871477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1861150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10327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11007373</v>
      </c>
      <c r="E28" s="132">
        <f>SUMIFS('Unos prihoda i primitaka'!$H$3:$H$501,'Unos prihoda i primitaka'!$C$3:$C$501,"=11",'Unos prihoda i primitaka'!$L$3:$L$501,"=67")</f>
        <v>11007373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14912948</v>
      </c>
      <c r="E30" s="4">
        <f t="shared" ref="E30:V30" si="6">SUM(E23:E29)</f>
        <v>11007373</v>
      </c>
      <c r="F30" s="4">
        <f t="shared" si="6"/>
        <v>0</v>
      </c>
      <c r="G30" s="4">
        <f t="shared" si="6"/>
        <v>1861150</v>
      </c>
      <c r="H30" s="4">
        <f t="shared" si="6"/>
        <v>0</v>
      </c>
      <c r="I30" s="4">
        <f t="shared" si="6"/>
        <v>1609874</v>
      </c>
      <c r="J30" s="4">
        <f t="shared" si="6"/>
        <v>0</v>
      </c>
      <c r="K30" s="4">
        <f t="shared" si="6"/>
        <v>424224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10327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33452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33452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33452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33452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14820711</v>
      </c>
      <c r="E36" s="69">
        <f t="shared" ref="E36:V36" si="9">+E47+E44</f>
        <v>11007373</v>
      </c>
      <c r="F36" s="69">
        <f t="shared" si="9"/>
        <v>0</v>
      </c>
      <c r="G36" s="69">
        <f t="shared" si="9"/>
        <v>1898373</v>
      </c>
      <c r="H36" s="69">
        <f t="shared" si="9"/>
        <v>0</v>
      </c>
      <c r="I36" s="69">
        <f t="shared" si="9"/>
        <v>1609874</v>
      </c>
      <c r="J36" s="69">
        <f t="shared" si="9"/>
        <v>0</v>
      </c>
      <c r="K36" s="69">
        <f t="shared" si="9"/>
        <v>260470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10500</v>
      </c>
      <c r="U36" s="69">
        <f t="shared" si="9"/>
        <v>0</v>
      </c>
      <c r="V36" s="69">
        <f t="shared" si="9"/>
        <v>34121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260470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260470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1609874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1609874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1908873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1898373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10500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11007373</v>
      </c>
      <c r="E42" s="132">
        <f>SUMIFS('Unos prihoda i primitaka'!$I$3:$I$501,'Unos prihoda i primitaka'!$C$3:$C$501,"=11",'Unos prihoda i primitaka'!$L$3:$L$501,"=67")</f>
        <v>11007373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14786590</v>
      </c>
      <c r="E44" s="4">
        <f t="shared" ref="E44:V44" si="10">SUM(E37:E43)</f>
        <v>11007373</v>
      </c>
      <c r="F44" s="4">
        <f t="shared" si="10"/>
        <v>0</v>
      </c>
      <c r="G44" s="4">
        <f t="shared" si="10"/>
        <v>1898373</v>
      </c>
      <c r="H44" s="4">
        <f t="shared" si="10"/>
        <v>0</v>
      </c>
      <c r="I44" s="4">
        <f t="shared" si="10"/>
        <v>1609874</v>
      </c>
      <c r="J44" s="4">
        <f t="shared" si="10"/>
        <v>0</v>
      </c>
      <c r="K44" s="4">
        <f t="shared" si="10"/>
        <v>260470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10500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34121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34121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34121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34121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6" t="s">
        <v>5114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14848129</v>
      </c>
      <c r="E4" s="70">
        <f>E5+E13</f>
        <v>11007373</v>
      </c>
      <c r="F4" s="70">
        <f t="shared" ref="F4:W4" si="0">F5+F13</f>
        <v>0</v>
      </c>
      <c r="G4" s="70">
        <f t="shared" si="0"/>
        <v>1827616</v>
      </c>
      <c r="H4" s="70">
        <f t="shared" si="0"/>
        <v>0</v>
      </c>
      <c r="I4" s="70">
        <f t="shared" si="0"/>
        <v>1561468</v>
      </c>
      <c r="J4" s="70">
        <f t="shared" si="0"/>
        <v>161401</v>
      </c>
      <c r="K4" s="70">
        <f>K5+K13</f>
        <v>37393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10000</v>
      </c>
      <c r="U4" s="70">
        <f t="shared" si="0"/>
        <v>0</v>
      </c>
      <c r="V4" s="70">
        <f t="shared" si="0"/>
        <v>242878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13464964</v>
      </c>
      <c r="E5" s="78">
        <f t="shared" ref="E5:G5" si="2">SUM(E6:E12)</f>
        <v>11007373</v>
      </c>
      <c r="F5" s="78">
        <f t="shared" si="2"/>
        <v>0</v>
      </c>
      <c r="G5" s="78">
        <f t="shared" si="2"/>
        <v>1633649</v>
      </c>
      <c r="H5" s="78">
        <f>SUM(H6:H12)</f>
        <v>0</v>
      </c>
      <c r="I5" s="78">
        <f t="shared" ref="I5:K5" si="3">SUM(I6:I12)</f>
        <v>615148</v>
      </c>
      <c r="J5" s="78">
        <f t="shared" si="3"/>
        <v>161401</v>
      </c>
      <c r="K5" s="78">
        <f t="shared" si="3"/>
        <v>37393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10000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10607654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9917322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309820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322312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50433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7767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2850959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1090051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1317478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292836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110968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29626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10000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6351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6351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1383165</v>
      </c>
      <c r="E13" s="79">
        <f t="shared" ref="E13:G13" si="6">SUM(E14:E18)</f>
        <v>0</v>
      </c>
      <c r="F13" s="79">
        <f t="shared" si="6"/>
        <v>0</v>
      </c>
      <c r="G13" s="79">
        <f t="shared" si="6"/>
        <v>193967</v>
      </c>
      <c r="H13" s="79">
        <f>SUM(H14:H18)</f>
        <v>0</v>
      </c>
      <c r="I13" s="79">
        <f t="shared" ref="I13:K13" si="7">SUM(I14:I18)</f>
        <v>946320</v>
      </c>
      <c r="J13" s="79">
        <f t="shared" si="7"/>
        <v>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242878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4658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4658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193287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189309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3978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1185220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946320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238900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14685719</v>
      </c>
      <c r="E21" s="70">
        <f>+E22+E30</f>
        <v>11007373</v>
      </c>
      <c r="F21" s="70">
        <f t="shared" ref="F21:W21" si="11">+F22+F30</f>
        <v>0</v>
      </c>
      <c r="G21" s="70">
        <f t="shared" si="11"/>
        <v>1839974</v>
      </c>
      <c r="H21" s="70">
        <f t="shared" si="11"/>
        <v>0</v>
      </c>
      <c r="I21" s="70">
        <f t="shared" si="11"/>
        <v>1609874</v>
      </c>
      <c r="J21" s="70">
        <f t="shared" si="11"/>
        <v>0</v>
      </c>
      <c r="K21" s="70">
        <f t="shared" si="11"/>
        <v>14470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10000</v>
      </c>
      <c r="U21" s="70">
        <f t="shared" si="11"/>
        <v>0</v>
      </c>
      <c r="V21" s="70">
        <f t="shared" si="11"/>
        <v>204028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13376299</v>
      </c>
      <c r="E22" s="78">
        <f t="shared" ref="E22:W22" si="12">SUM(E23:E29)</f>
        <v>11007373</v>
      </c>
      <c r="F22" s="78">
        <f t="shared" si="12"/>
        <v>0</v>
      </c>
      <c r="G22" s="78">
        <f t="shared" si="12"/>
        <v>1644836</v>
      </c>
      <c r="H22" s="78">
        <f>SUM(H23:H29)</f>
        <v>0</v>
      </c>
      <c r="I22" s="78">
        <f t="shared" si="12"/>
        <v>699620</v>
      </c>
      <c r="J22" s="78">
        <f t="shared" si="12"/>
        <v>0</v>
      </c>
      <c r="K22" s="78">
        <f t="shared" si="12"/>
        <v>14470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10000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10688990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9917322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315970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455698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2680720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1090051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1322277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243922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14470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10000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6589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6589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1309420</v>
      </c>
      <c r="E30" s="79">
        <f t="shared" ref="E30:G30" si="13">SUM(E31:E35)</f>
        <v>0</v>
      </c>
      <c r="F30" s="79">
        <f t="shared" si="13"/>
        <v>0</v>
      </c>
      <c r="G30" s="79">
        <f t="shared" si="13"/>
        <v>195138</v>
      </c>
      <c r="H30" s="79">
        <f>SUM(H31:H35)</f>
        <v>0</v>
      </c>
      <c r="I30" s="79">
        <f t="shared" ref="I30:K30" si="14">SUM(I31:I35)</f>
        <v>910254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204028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4321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4321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194845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190817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4028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1110254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910254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200000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14652278</v>
      </c>
      <c r="E38" s="70">
        <f>E39+E47</f>
        <v>11007373</v>
      </c>
      <c r="F38" s="70">
        <f t="shared" ref="F38:W38" si="18">F39+F47</f>
        <v>0</v>
      </c>
      <c r="G38" s="70">
        <f t="shared" si="18"/>
        <v>1859903</v>
      </c>
      <c r="H38" s="70">
        <f t="shared" si="18"/>
        <v>0</v>
      </c>
      <c r="I38" s="70">
        <f t="shared" si="18"/>
        <v>1609874</v>
      </c>
      <c r="J38" s="70">
        <f t="shared" si="18"/>
        <v>0</v>
      </c>
      <c r="K38" s="70">
        <f t="shared" si="18"/>
        <v>11000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10000</v>
      </c>
      <c r="U38" s="70">
        <f t="shared" si="18"/>
        <v>0</v>
      </c>
      <c r="V38" s="70">
        <f t="shared" si="18"/>
        <v>154128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13405829</v>
      </c>
      <c r="E39" s="78">
        <f t="shared" ref="E39:G39" si="19">SUM(E40:E46)</f>
        <v>11007373</v>
      </c>
      <c r="F39" s="78">
        <f t="shared" si="19"/>
        <v>0</v>
      </c>
      <c r="G39" s="78">
        <f t="shared" si="19"/>
        <v>1668241</v>
      </c>
      <c r="H39" s="78">
        <f>SUM(H40:H46)</f>
        <v>0</v>
      </c>
      <c r="I39" s="78">
        <f t="shared" ref="I39:K39" si="20">SUM(I40:I46)</f>
        <v>709215</v>
      </c>
      <c r="J39" s="78">
        <f t="shared" si="20"/>
        <v>0</v>
      </c>
      <c r="K39" s="78">
        <f t="shared" si="20"/>
        <v>11000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10000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10695310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9917322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322290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455698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2704198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1090051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1339630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253517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11000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10000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6321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6321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1246449</v>
      </c>
      <c r="E47" s="79">
        <f t="shared" ref="E47:G47" si="23">SUM(E48:E52)</f>
        <v>0</v>
      </c>
      <c r="F47" s="79">
        <f t="shared" si="23"/>
        <v>0</v>
      </c>
      <c r="G47" s="79">
        <f t="shared" si="23"/>
        <v>191662</v>
      </c>
      <c r="H47" s="79">
        <f>SUM(H48:H52)</f>
        <v>0</v>
      </c>
      <c r="I47" s="79">
        <f t="shared" ref="I47:K47" si="24">SUM(I48:I52)</f>
        <v>900659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154128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4654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4654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191136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187008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4128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1050659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900659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150000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6" t="s">
        <v>5116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14848129</v>
      </c>
      <c r="D5" s="339">
        <f t="shared" ref="D5:E5" si="0">+D6+D9+D11+D14+D25+D28+D30</f>
        <v>14685719</v>
      </c>
      <c r="E5" s="339">
        <f t="shared" si="0"/>
        <v>14652278</v>
      </c>
    </row>
    <row r="6" spans="1:193">
      <c r="A6" s="312">
        <v>1</v>
      </c>
      <c r="B6" s="67" t="s">
        <v>5131</v>
      </c>
      <c r="C6" s="338">
        <f>+C7+C8</f>
        <v>11007373</v>
      </c>
      <c r="D6" s="338">
        <f t="shared" ref="D6:E6" si="1">+D7+D8</f>
        <v>11007373</v>
      </c>
      <c r="E6" s="338">
        <f t="shared" si="1"/>
        <v>11007373</v>
      </c>
    </row>
    <row r="7" spans="1:193">
      <c r="A7" s="309">
        <v>11</v>
      </c>
      <c r="B7" s="48" t="s">
        <v>5118</v>
      </c>
      <c r="C7" s="337">
        <f>+'A.2 RASHODI'!E4</f>
        <v>11007373</v>
      </c>
      <c r="D7" s="337">
        <f>+'A.2 RASHODI'!E21</f>
        <v>11007373</v>
      </c>
      <c r="E7" s="337">
        <f>+'A.2 RASHODI'!E38</f>
        <v>11007373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1827616</v>
      </c>
      <c r="D9" s="338">
        <f t="shared" ref="D9:E9" si="2">+D10</f>
        <v>1839974</v>
      </c>
      <c r="E9" s="338">
        <f t="shared" si="2"/>
        <v>1859903</v>
      </c>
    </row>
    <row r="10" spans="1:193">
      <c r="A10" s="309">
        <v>31</v>
      </c>
      <c r="B10" s="48" t="s">
        <v>5119</v>
      </c>
      <c r="C10" s="337">
        <f>+'A.2 RASHODI'!G4</f>
        <v>1827616</v>
      </c>
      <c r="D10" s="337">
        <f>+'A.2 RASHODI'!G21</f>
        <v>1839974</v>
      </c>
      <c r="E10" s="337">
        <f>+'A.2 RASHODI'!G38</f>
        <v>1859903</v>
      </c>
    </row>
    <row r="11" spans="1:193">
      <c r="A11" s="312">
        <v>4</v>
      </c>
      <c r="B11" s="67" t="s">
        <v>5133</v>
      </c>
      <c r="C11" s="338">
        <f>+C12+C13</f>
        <v>1561468</v>
      </c>
      <c r="D11" s="338">
        <f t="shared" ref="D11:E11" si="3">+D12+D13</f>
        <v>1609874</v>
      </c>
      <c r="E11" s="338">
        <f t="shared" si="3"/>
        <v>1609874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1561468</v>
      </c>
      <c r="D13" s="337">
        <f>+'A.2 RASHODI'!I21</f>
        <v>1609874</v>
      </c>
      <c r="E13" s="337">
        <f>+'A.2 RASHODI'!I38</f>
        <v>1609874</v>
      </c>
    </row>
    <row r="14" spans="1:193">
      <c r="A14" s="312">
        <v>5</v>
      </c>
      <c r="B14" s="67" t="s">
        <v>5134</v>
      </c>
      <c r="C14" s="338">
        <f>SUM(C15:C24)</f>
        <v>198794</v>
      </c>
      <c r="D14" s="338">
        <f t="shared" ref="D14:E14" si="4">SUM(D15:D24)</f>
        <v>14470</v>
      </c>
      <c r="E14" s="338">
        <f t="shared" si="4"/>
        <v>11000</v>
      </c>
    </row>
    <row r="15" spans="1:193">
      <c r="A15" s="309">
        <v>51</v>
      </c>
      <c r="B15" s="48" t="s">
        <v>5122</v>
      </c>
      <c r="C15" s="337">
        <f>+'A.2 RASHODI'!J4</f>
        <v>161401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37393</v>
      </c>
      <c r="D16" s="337">
        <f>+'A.2 RASHODI'!K21</f>
        <v>14470</v>
      </c>
      <c r="E16" s="337">
        <f>+'A.2 RASHODI'!K38</f>
        <v>11000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10000</v>
      </c>
      <c r="D25" s="338">
        <f t="shared" ref="D25:E25" si="5">+D26+D27</f>
        <v>10000</v>
      </c>
      <c r="E25" s="338">
        <f t="shared" si="5"/>
        <v>10000</v>
      </c>
    </row>
    <row r="26" spans="1:5">
      <c r="A26" s="309">
        <v>61</v>
      </c>
      <c r="B26" s="48" t="s">
        <v>1684</v>
      </c>
      <c r="C26" s="337">
        <f>+'A.2 RASHODI'!T4</f>
        <v>10000</v>
      </c>
      <c r="D26" s="337">
        <f>+'A.2 RASHODI'!T21</f>
        <v>10000</v>
      </c>
      <c r="E26" s="337">
        <f>+'A.2 RASHODI'!T38</f>
        <v>10000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242878</v>
      </c>
      <c r="D28" s="338">
        <f t="shared" ref="D28:E28" si="6">+D29</f>
        <v>204028</v>
      </c>
      <c r="E28" s="338">
        <f t="shared" si="6"/>
        <v>154128</v>
      </c>
    </row>
    <row r="29" spans="1:5" ht="25.5">
      <c r="A29" s="309">
        <v>71</v>
      </c>
      <c r="B29" s="48" t="s">
        <v>5130</v>
      </c>
      <c r="C29" s="337">
        <f>+'A.2 RASHODI'!V4</f>
        <v>242878</v>
      </c>
      <c r="D29" s="337">
        <f>+'A.2 RASHODI'!V21</f>
        <v>204028</v>
      </c>
      <c r="E29" s="337">
        <f>+'A.2 RASHODI'!V38</f>
        <v>154128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6" t="s">
        <v>5141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14800368</v>
      </c>
      <c r="D5" s="70">
        <f t="shared" ref="D5:E5" si="0">+D6+D15+D21+D28+D38+D45+D52+D59+D66+D75</f>
        <v>14671249</v>
      </c>
      <c r="E5" s="70">
        <f t="shared" si="0"/>
        <v>14641278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14800368</v>
      </c>
      <c r="D66" s="345">
        <f>SUM(D67:D74)</f>
        <v>14671249</v>
      </c>
      <c r="E66" s="345">
        <f>SUM(E67:E74)</f>
        <v>14641278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14800368</v>
      </c>
      <c r="D70" s="337">
        <f>SUMIF('Unos rashoda i izdataka'!$R$3:$R$501,'A.4 RASHODI FUNK'!$A70,'Unos rashoda i izdataka'!$K$3:$K$501)+SUMIF('Unos rashoda P4'!$T$3:$T$501,'A.4 RASHODI FUNK'!$A70,'Unos rashoda P4'!$I$3:$I$501)</f>
        <v>14671249</v>
      </c>
      <c r="E70" s="337">
        <f>SUMIF('Unos rashoda i izdataka'!$R$3:$R$501,'A.4 RASHODI FUNK'!$A70,'Unos rashoda i izdataka'!$L$3:$L$501)+SUMIF('Unos rashoda P4'!$T$3:$T$501,'A.4 RASHODI FUNK'!$A70,'Unos rashoda P4'!$J$3:$J$501)</f>
        <v>14641278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2022-09-18T21:57:43Z</cp:lastPrinted>
  <dcterms:created xsi:type="dcterms:W3CDTF">2018-09-10T07:36:17Z</dcterms:created>
  <dcterms:modified xsi:type="dcterms:W3CDTF">2022-09-28T13:41:12Z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